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icpa\OneDrive\Documents\00000.00_My Software Development\32.Lifetime Value of a Customer\"/>
    </mc:Choice>
  </mc:AlternateContent>
  <xr:revisionPtr revIDLastSave="0" documentId="13_ncr:1_{EB691B35-58B6-4653-9160-D42EB9C723EC}" xr6:coauthVersionLast="47" xr6:coauthVersionMax="47" xr10:uidLastSave="{00000000-0000-0000-0000-000000000000}"/>
  <bookViews>
    <workbookView xWindow="780" yWindow="780" windowWidth="17415" windowHeight="11235" xr2:uid="{00000000-000D-0000-FFFF-FFFF00000000}"/>
  </bookViews>
  <sheets>
    <sheet name="LVA" sheetId="1" r:id="rId1"/>
    <sheet name="Table" sheetId="2" r:id="rId2"/>
  </sheets>
  <definedNames>
    <definedName name="_xlnm.Print_Area" localSheetId="0">LVA!$B$2:$G$53</definedName>
    <definedName name="_xlnm.Print_Area" localSheetId="1">Table!$B$1:$K$39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E28" i="1"/>
  <c r="E29" i="1"/>
  <c r="J10" i="1"/>
  <c r="J11" i="1"/>
  <c r="J12" i="1"/>
  <c r="J13" i="1"/>
  <c r="J9" i="1"/>
  <c r="J8" i="1"/>
  <c r="J7" i="1"/>
  <c r="E40" i="1"/>
  <c r="E27" i="1"/>
  <c r="F30" i="1" s="1"/>
  <c r="D21" i="1"/>
  <c r="G4" i="2" s="1"/>
  <c r="M18" i="2" s="1"/>
  <c r="G5" i="2"/>
  <c r="E20" i="1"/>
  <c r="E19" i="1"/>
  <c r="A17" i="1"/>
  <c r="A18" i="1"/>
  <c r="F11" i="1"/>
  <c r="F12" i="1"/>
  <c r="F13" i="1"/>
  <c r="G10" i="1"/>
  <c r="G14" i="1" s="1"/>
  <c r="I11" i="1"/>
  <c r="I12" i="1"/>
  <c r="I13" i="1"/>
  <c r="I7" i="1"/>
  <c r="I8" i="1"/>
  <c r="I9" i="1"/>
  <c r="G6" i="2"/>
  <c r="D7" i="1"/>
  <c r="F7" i="1" s="1"/>
  <c r="D8" i="1"/>
  <c r="F8" i="1" s="1"/>
  <c r="D9" i="1"/>
  <c r="F9" i="1" s="1"/>
  <c r="D10" i="1"/>
  <c r="F10" i="1" s="1"/>
  <c r="D11" i="1"/>
  <c r="D12" i="1"/>
  <c r="D13" i="1"/>
  <c r="E14" i="1"/>
  <c r="E15" i="1" s="1"/>
  <c r="E45" i="1" l="1"/>
  <c r="I10" i="1"/>
  <c r="I14" i="1" s="1"/>
  <c r="H14" i="1" s="1"/>
  <c r="M19" i="2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F14" i="1"/>
  <c r="G7" i="2" s="1"/>
  <c r="D22" i="1" l="1"/>
  <c r="A20" i="1"/>
  <c r="L15" i="2"/>
  <c r="G8" i="2"/>
  <c r="L14" i="2"/>
  <c r="L32" i="2" l="1"/>
  <c r="L36" i="2"/>
  <c r="L43" i="2"/>
  <c r="L38" i="2"/>
  <c r="L39" i="2"/>
  <c r="L40" i="2"/>
  <c r="L42" i="2"/>
  <c r="L37" i="2"/>
  <c r="L44" i="2"/>
  <c r="L46" i="2"/>
  <c r="L35" i="2"/>
  <c r="L33" i="2"/>
  <c r="L45" i="2"/>
  <c r="L34" i="2"/>
  <c r="L41" i="2"/>
  <c r="L47" i="2"/>
  <c r="L18" i="2"/>
  <c r="N18" i="2" s="1"/>
  <c r="L19" i="2"/>
  <c r="L20" i="2"/>
  <c r="L21" i="2"/>
  <c r="L24" i="2"/>
  <c r="D24" i="1"/>
  <c r="D23" i="1" s="1"/>
  <c r="L22" i="2"/>
  <c r="L23" i="2"/>
  <c r="L25" i="2"/>
  <c r="L30" i="2"/>
  <c r="L28" i="2"/>
  <c r="L31" i="2"/>
  <c r="L27" i="2"/>
  <c r="L26" i="2"/>
  <c r="L29" i="2"/>
  <c r="Q18" i="2" l="1"/>
  <c r="R18" i="2" s="1"/>
  <c r="G18" i="2" s="1"/>
  <c r="H18" i="2" s="1"/>
  <c r="N41" i="2"/>
  <c r="N47" i="2"/>
  <c r="N34" i="2"/>
  <c r="N40" i="2"/>
  <c r="N39" i="2"/>
  <c r="N33" i="2"/>
  <c r="N42" i="2"/>
  <c r="N38" i="2"/>
  <c r="Q38" i="2" s="1"/>
  <c r="N35" i="2"/>
  <c r="Q35" i="2" s="1"/>
  <c r="N43" i="2"/>
  <c r="Q43" i="2" s="1"/>
  <c r="N46" i="2"/>
  <c r="Q46" i="2" s="1"/>
  <c r="N37" i="2"/>
  <c r="Q37" i="2" s="1"/>
  <c r="N36" i="2"/>
  <c r="Q36" i="2" s="1"/>
  <c r="N45" i="2"/>
  <c r="Q45" i="2" s="1"/>
  <c r="N44" i="2"/>
  <c r="Q44" i="2" s="1"/>
  <c r="N32" i="2"/>
  <c r="Q32" i="2" s="1"/>
  <c r="C18" i="2"/>
  <c r="N19" i="2"/>
  <c r="N23" i="2"/>
  <c r="N20" i="2"/>
  <c r="N21" i="2"/>
  <c r="N24" i="2"/>
  <c r="N25" i="2"/>
  <c r="N22" i="2"/>
  <c r="U25" i="1"/>
  <c r="U26" i="1"/>
  <c r="N26" i="2"/>
  <c r="N28" i="2"/>
  <c r="Q28" i="2" s="1"/>
  <c r="N30" i="2"/>
  <c r="Q30" i="2" s="1"/>
  <c r="N29" i="2"/>
  <c r="N31" i="2"/>
  <c r="N27" i="2"/>
  <c r="C39" i="2" l="1"/>
  <c r="Q39" i="2"/>
  <c r="R39" i="2" s="1"/>
  <c r="G39" i="2" s="1"/>
  <c r="H39" i="2" s="1"/>
  <c r="Q40" i="2"/>
  <c r="R40" i="2" s="1"/>
  <c r="G40" i="2" s="1"/>
  <c r="H40" i="2" s="1"/>
  <c r="Q23" i="2"/>
  <c r="R23" i="2" s="1"/>
  <c r="G23" i="2" s="1"/>
  <c r="Q33" i="2"/>
  <c r="R33" i="2" s="1"/>
  <c r="G33" i="2" s="1"/>
  <c r="H33" i="2" s="1"/>
  <c r="Q19" i="2"/>
  <c r="R19" i="2" s="1"/>
  <c r="G19" i="2" s="1"/>
  <c r="H19" i="2" s="1"/>
  <c r="C27" i="2"/>
  <c r="Q27" i="2"/>
  <c r="R27" i="2" s="1"/>
  <c r="G27" i="2" s="1"/>
  <c r="H27" i="2" s="1"/>
  <c r="Q22" i="2"/>
  <c r="R22" i="2" s="1"/>
  <c r="G22" i="2" s="1"/>
  <c r="Q34" i="2"/>
  <c r="R34" i="2" s="1"/>
  <c r="G34" i="2" s="1"/>
  <c r="H34" i="2" s="1"/>
  <c r="C31" i="2"/>
  <c r="Q31" i="2"/>
  <c r="R31" i="2" s="1"/>
  <c r="G31" i="2" s="1"/>
  <c r="H31" i="2" s="1"/>
  <c r="Q25" i="2"/>
  <c r="R25" i="2" s="1"/>
  <c r="G25" i="2" s="1"/>
  <c r="Q47" i="2"/>
  <c r="R47" i="2" s="1"/>
  <c r="G47" i="2" s="1"/>
  <c r="H47" i="2" s="1"/>
  <c r="Q24" i="2"/>
  <c r="R24" i="2" s="1"/>
  <c r="G24" i="2" s="1"/>
  <c r="C41" i="2"/>
  <c r="Q41" i="2"/>
  <c r="R41" i="2" s="1"/>
  <c r="G41" i="2" s="1"/>
  <c r="H41" i="2" s="1"/>
  <c r="C26" i="2"/>
  <c r="Q26" i="2"/>
  <c r="R26" i="2" s="1"/>
  <c r="G26" i="2" s="1"/>
  <c r="Q21" i="2"/>
  <c r="R21" i="2" s="1"/>
  <c r="G21" i="2" s="1"/>
  <c r="C29" i="2"/>
  <c r="Q29" i="2"/>
  <c r="R29" i="2" s="1"/>
  <c r="G29" i="2" s="1"/>
  <c r="H29" i="2" s="1"/>
  <c r="Q20" i="2"/>
  <c r="R20" i="2" s="1"/>
  <c r="G20" i="2" s="1"/>
  <c r="Q42" i="2"/>
  <c r="R42" i="2" s="1"/>
  <c r="G42" i="2" s="1"/>
  <c r="H42" i="2" s="1"/>
  <c r="C33" i="2"/>
  <c r="C47" i="2"/>
  <c r="C34" i="2"/>
  <c r="C42" i="2"/>
  <c r="C40" i="2"/>
  <c r="C32" i="2"/>
  <c r="R32" i="2"/>
  <c r="G32" i="2" s="1"/>
  <c r="H32" i="2" s="1"/>
  <c r="C28" i="2"/>
  <c r="R43" i="2"/>
  <c r="G43" i="2" s="1"/>
  <c r="H43" i="2" s="1"/>
  <c r="C43" i="2"/>
  <c r="C30" i="2"/>
  <c r="R44" i="2"/>
  <c r="G44" i="2" s="1"/>
  <c r="H44" i="2" s="1"/>
  <c r="C44" i="2"/>
  <c r="R45" i="2"/>
  <c r="G45" i="2" s="1"/>
  <c r="H45" i="2" s="1"/>
  <c r="C45" i="2"/>
  <c r="C35" i="2"/>
  <c r="R35" i="2"/>
  <c r="G35" i="2" s="1"/>
  <c r="H35" i="2" s="1"/>
  <c r="C36" i="2"/>
  <c r="R36" i="2"/>
  <c r="G36" i="2" s="1"/>
  <c r="H36" i="2" s="1"/>
  <c r="R37" i="2"/>
  <c r="G37" i="2" s="1"/>
  <c r="H37" i="2" s="1"/>
  <c r="C37" i="2"/>
  <c r="C46" i="2"/>
  <c r="R46" i="2"/>
  <c r="G46" i="2" s="1"/>
  <c r="H46" i="2" s="1"/>
  <c r="C38" i="2"/>
  <c r="R38" i="2"/>
  <c r="G38" i="2" s="1"/>
  <c r="H38" i="2" s="1"/>
  <c r="C19" i="2"/>
  <c r="C23" i="2"/>
  <c r="C25" i="2"/>
  <c r="C21" i="2"/>
  <c r="C20" i="2"/>
  <c r="C24" i="2"/>
  <c r="C22" i="2"/>
  <c r="U27" i="1"/>
  <c r="R28" i="2"/>
  <c r="G28" i="2" s="1"/>
  <c r="H28" i="2" s="1"/>
  <c r="R30" i="2"/>
  <c r="G30" i="2" s="1"/>
  <c r="H30" i="2" s="1"/>
  <c r="G17" i="2" l="1"/>
  <c r="C17" i="2"/>
  <c r="H20" i="2"/>
  <c r="H21" i="2" s="1"/>
  <c r="H22" i="2" s="1"/>
  <c r="H23" i="2" s="1"/>
  <c r="H24" i="2" s="1"/>
  <c r="H25" i="2" s="1"/>
  <c r="H26" i="2" s="1"/>
  <c r="H17" i="2" l="1"/>
  <c r="E38" i="1" s="1"/>
  <c r="K7" i="1" l="1"/>
  <c r="K12" i="1"/>
  <c r="K11" i="1"/>
  <c r="K10" i="1"/>
  <c r="K9" i="1"/>
  <c r="K8" i="1"/>
  <c r="K13" i="1"/>
  <c r="F38" i="1" l="1"/>
  <c r="J14" i="1"/>
  <c r="K14" i="1" s="1"/>
  <c r="F29" i="1"/>
  <c r="U28" i="1" s="1"/>
  <c r="G3" i="2"/>
  <c r="O43" i="2" s="1"/>
  <c r="D43" i="2" l="1"/>
  <c r="P43" i="2"/>
  <c r="E43" i="2" s="1"/>
  <c r="F43" i="2" s="1"/>
  <c r="O24" i="2"/>
  <c r="O29" i="2"/>
  <c r="O27" i="2"/>
  <c r="O34" i="2"/>
  <c r="O28" i="2"/>
  <c r="O47" i="2"/>
  <c r="O44" i="2"/>
  <c r="O20" i="2"/>
  <c r="O35" i="2"/>
  <c r="O22" i="2"/>
  <c r="O19" i="2"/>
  <c r="O42" i="2"/>
  <c r="O26" i="2"/>
  <c r="O30" i="2"/>
  <c r="O33" i="2"/>
  <c r="O41" i="2"/>
  <c r="O46" i="2"/>
  <c r="O32" i="2"/>
  <c r="E44" i="1"/>
  <c r="E46" i="1" s="1"/>
  <c r="E37" i="1" s="1"/>
  <c r="O38" i="2"/>
  <c r="O37" i="2"/>
  <c r="O45" i="2"/>
  <c r="O36" i="2"/>
  <c r="O23" i="2"/>
  <c r="O21" i="2"/>
  <c r="O25" i="2"/>
  <c r="O40" i="2"/>
  <c r="O18" i="2"/>
  <c r="O31" i="2"/>
  <c r="O39" i="2"/>
  <c r="P31" i="2" l="1"/>
  <c r="E31" i="2" s="1"/>
  <c r="F31" i="2" s="1"/>
  <c r="D31" i="2"/>
  <c r="P38" i="2"/>
  <c r="E38" i="2" s="1"/>
  <c r="F38" i="2" s="1"/>
  <c r="D38" i="2"/>
  <c r="P28" i="2"/>
  <c r="E28" i="2" s="1"/>
  <c r="F28" i="2" s="1"/>
  <c r="D28" i="2"/>
  <c r="D40" i="2"/>
  <c r="P40" i="2"/>
  <c r="E40" i="2" s="1"/>
  <c r="F40" i="2" s="1"/>
  <c r="F37" i="1"/>
  <c r="F39" i="1" s="1"/>
  <c r="E39" i="1"/>
  <c r="E41" i="1" s="1"/>
  <c r="F28" i="1"/>
  <c r="E31" i="1"/>
  <c r="D34" i="2"/>
  <c r="P34" i="2"/>
  <c r="E34" i="2" s="1"/>
  <c r="F34" i="2" s="1"/>
  <c r="D26" i="2"/>
  <c r="P26" i="2"/>
  <c r="E26" i="2" s="1"/>
  <c r="F26" i="2" s="1"/>
  <c r="P42" i="2"/>
  <c r="E42" i="2" s="1"/>
  <c r="F42" i="2" s="1"/>
  <c r="D42" i="2"/>
  <c r="P27" i="2"/>
  <c r="E27" i="2" s="1"/>
  <c r="F27" i="2" s="1"/>
  <c r="D27" i="2"/>
  <c r="D41" i="2"/>
  <c r="P41" i="2"/>
  <c r="E41" i="2" s="1"/>
  <c r="F41" i="2" s="1"/>
  <c r="D35" i="2"/>
  <c r="P35" i="2"/>
  <c r="E35" i="2" s="1"/>
  <c r="F35" i="2" s="1"/>
  <c r="D24" i="2"/>
  <c r="P24" i="2"/>
  <c r="E24" i="2" s="1"/>
  <c r="P37" i="2"/>
  <c r="E37" i="2" s="1"/>
  <c r="F37" i="2" s="1"/>
  <c r="D37" i="2"/>
  <c r="P25" i="2"/>
  <c r="E25" i="2" s="1"/>
  <c r="F25" i="2" s="1"/>
  <c r="D25" i="2"/>
  <c r="P46" i="2"/>
  <c r="E46" i="2" s="1"/>
  <c r="F46" i="2" s="1"/>
  <c r="D46" i="2"/>
  <c r="D36" i="2"/>
  <c r="P36" i="2"/>
  <c r="E36" i="2" s="1"/>
  <c r="F36" i="2" s="1"/>
  <c r="P47" i="2"/>
  <c r="E47" i="2" s="1"/>
  <c r="F47" i="2" s="1"/>
  <c r="D47" i="2"/>
  <c r="D18" i="2"/>
  <c r="P18" i="2"/>
  <c r="E18" i="2" s="1"/>
  <c r="P32" i="2"/>
  <c r="E32" i="2" s="1"/>
  <c r="F32" i="2" s="1"/>
  <c r="D32" i="2"/>
  <c r="D19" i="2"/>
  <c r="P19" i="2"/>
  <c r="E19" i="2" s="1"/>
  <c r="D21" i="2"/>
  <c r="P21" i="2"/>
  <c r="E21" i="2" s="1"/>
  <c r="D22" i="2"/>
  <c r="P22" i="2"/>
  <c r="E22" i="2" s="1"/>
  <c r="P29" i="2"/>
  <c r="E29" i="2" s="1"/>
  <c r="F29" i="2" s="1"/>
  <c r="D29" i="2"/>
  <c r="P23" i="2"/>
  <c r="E23" i="2" s="1"/>
  <c r="D23" i="2"/>
  <c r="P33" i="2"/>
  <c r="E33" i="2" s="1"/>
  <c r="F33" i="2" s="1"/>
  <c r="D33" i="2"/>
  <c r="P20" i="2"/>
  <c r="E20" i="2" s="1"/>
  <c r="D20" i="2"/>
  <c r="P39" i="2"/>
  <c r="E39" i="2" s="1"/>
  <c r="F39" i="2" s="1"/>
  <c r="D39" i="2"/>
  <c r="D45" i="2"/>
  <c r="P45" i="2"/>
  <c r="E45" i="2" s="1"/>
  <c r="F45" i="2" s="1"/>
  <c r="D30" i="2"/>
  <c r="P30" i="2"/>
  <c r="E30" i="2" s="1"/>
  <c r="F30" i="2" s="1"/>
  <c r="D44" i="2"/>
  <c r="P44" i="2"/>
  <c r="E44" i="2" s="1"/>
  <c r="F44" i="2" s="1"/>
  <c r="F18" i="2" l="1"/>
  <c r="F19" i="2" s="1"/>
  <c r="F20" i="2" s="1"/>
  <c r="F21" i="2" s="1"/>
  <c r="F22" i="2" s="1"/>
  <c r="F23" i="2" s="1"/>
  <c r="F24" i="2" s="1"/>
  <c r="E17" i="2"/>
  <c r="D17" i="2"/>
  <c r="F31" i="1"/>
  <c r="F34" i="1"/>
  <c r="F17" i="2" l="1"/>
</calcChain>
</file>

<file path=xl/sharedStrings.xml><?xml version="1.0" encoding="utf-8"?>
<sst xmlns="http://schemas.openxmlformats.org/spreadsheetml/2006/main" count="92" uniqueCount="83">
  <si>
    <t>Client Longevity</t>
  </si>
  <si>
    <t>From</t>
  </si>
  <si>
    <t>To</t>
  </si>
  <si>
    <t>Average</t>
  </si>
  <si>
    <t>% In Group</t>
  </si>
  <si>
    <t>Years</t>
  </si>
  <si>
    <t>Gross Margin</t>
  </si>
  <si>
    <t>Client Lifetime Value</t>
  </si>
  <si>
    <t>Assumptions</t>
  </si>
  <si>
    <t>Steps:</t>
  </si>
  <si>
    <t xml:space="preserve">Select the longevity cohorts and enter in cells B7 to C13 </t>
  </si>
  <si>
    <t>Enter the percentages for your clients for each longevity cohort you have defined</t>
  </si>
  <si>
    <t>The weighted contribution for each cohort will be calculated in Column F</t>
  </si>
  <si>
    <t>The Lifetime Value Multiplier is calculated in Cell E23</t>
  </si>
  <si>
    <t>Enter your assumptions for Gross Margin, Discount rate, Fee growth rate</t>
  </si>
  <si>
    <t>and the Average initial fee for a client</t>
  </si>
  <si>
    <t>The average number of years for each cohort will be calculated in Column D</t>
  </si>
  <si>
    <t>r</t>
  </si>
  <si>
    <t>g</t>
  </si>
  <si>
    <t>Year</t>
  </si>
  <si>
    <t>GM%</t>
  </si>
  <si>
    <t>Lifetime Value Multiple</t>
  </si>
  <si>
    <t>The Present Value of an Increasing Annuity</t>
  </si>
  <si>
    <t>P*</t>
  </si>
  <si>
    <t>* It is assumed the fee is received at the end of the year</t>
  </si>
  <si>
    <t>Round n**</t>
  </si>
  <si>
    <t>The weights will be summed to derive a weighted average lifetime.</t>
  </si>
  <si>
    <t>Revenue</t>
  </si>
  <si>
    <t>Less direct expenses</t>
  </si>
  <si>
    <t>Less overhead</t>
  </si>
  <si>
    <t>Weighted Yrs.</t>
  </si>
  <si>
    <t>Cummulative Expenses</t>
  </si>
  <si>
    <t>PV of Expenses***</t>
  </si>
  <si>
    <t>Present Value of GM</t>
  </si>
  <si>
    <t>Value of Client Base</t>
  </si>
  <si>
    <t>Less Present Value of Overheads</t>
  </si>
  <si>
    <t>Per Client</t>
  </si>
  <si>
    <t>Total</t>
  </si>
  <si>
    <t>Net Present Value</t>
  </si>
  <si>
    <t>The italicized fields are available for user input.</t>
  </si>
  <si>
    <t>Client Lifetime Value Analysis</t>
  </si>
  <si>
    <t>Cummulative PV of GM</t>
  </si>
  <si>
    <t>Average longevity (years)</t>
  </si>
  <si>
    <t>Net Operating Profit Before Interest &amp; Tax</t>
  </si>
  <si>
    <t>Income Statement</t>
  </si>
  <si>
    <t xml:space="preserve">Present Value of Lifetime Gross Margin </t>
  </si>
  <si>
    <t>Select the Table Sheet Tab to review a table showing the present value of the GM stream</t>
  </si>
  <si>
    <t>Hidden Revenue Cells</t>
  </si>
  <si>
    <t>Mantissa</t>
  </si>
  <si>
    <t>Raw Revenue</t>
  </si>
  <si>
    <t>Est Revenue</t>
  </si>
  <si>
    <t>PV Expenses</t>
  </si>
  <si>
    <t>Est GM</t>
  </si>
  <si>
    <t>PV GM</t>
  </si>
  <si>
    <t>Net profit before partner compensation</t>
  </si>
  <si>
    <t>Av GM Calc</t>
  </si>
  <si>
    <t>Avg Fee Calc</t>
  </si>
  <si>
    <t>Number of Clients</t>
  </si>
  <si>
    <t>P = Revenue</t>
  </si>
  <si>
    <t xml:space="preserve">      growth rate per period</t>
  </si>
  <si>
    <t>r  = Discount rate per period</t>
  </si>
  <si>
    <t>g = Revenue and overhead expense</t>
  </si>
  <si>
    <t>n = Number of years</t>
  </si>
  <si>
    <t>n**</t>
  </si>
  <si>
    <t>of a full year after allowing for assumed growth.</t>
  </si>
  <si>
    <t>** When there is less than a whole year an estimate of the</t>
  </si>
  <si>
    <t>revenue for the following will be made using the mantissa as a %</t>
  </si>
  <si>
    <t>*** Expenses are assumed to grow at the same rate as revenue</t>
  </si>
  <si>
    <t>NPV Discount rate</t>
  </si>
  <si>
    <t xml:space="preserve">(+/-) Other adjustements </t>
  </si>
  <si>
    <t>Expenses Per client</t>
  </si>
  <si>
    <t>Revenue growth rate per year</t>
  </si>
  <si>
    <t>Number of customers</t>
  </si>
  <si>
    <t>Customer retention rate</t>
  </si>
  <si>
    <t>Customer defection rate</t>
  </si>
  <si>
    <t>Estimated Current Value of Customer Base</t>
  </si>
  <si>
    <t>Average revenue per customer</t>
  </si>
  <si>
    <t>Total Revenue</t>
  </si>
  <si>
    <t>v2.1</t>
  </si>
  <si>
    <t>If n is greater than 30 years the table will be incomplete.</t>
  </si>
  <si>
    <t>Per Client Analysis</t>
  </si>
  <si>
    <t>Less allowance for partner compensation (-)</t>
  </si>
  <si>
    <t>$ / £ /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</si>
</sst>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$&quot;#,##0.00_);[Red]\(&quot;$&quot;#,##0.00\)"/>
    <numFmt numFmtId="165" formatCode="_(* #,##0.00_);_(* \(#,##0.00\);_(* &quot;-&quot;??_);_(@_)"/>
    <numFmt numFmtId="166" formatCode="#,##0.0000_);\(#,##0.0000\)"/>
    <numFmt numFmtId="167" formatCode="#,##0.000_);\(#,##0.000\)"/>
    <numFmt numFmtId="168" formatCode="0.0%"/>
    <numFmt numFmtId="169" formatCode="#,##0.000"/>
    <numFmt numFmtId="170" formatCode="0.0000"/>
    <numFmt numFmtId="171" formatCode="_(* #,##0_);_(* \(#,##0\);_(* &quot;-&quot;??_);_(@_)"/>
  </numFmts>
  <fonts count="21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20"/>
      <color indexed="9"/>
      <name val="Arial"/>
    </font>
    <font>
      <sz val="10"/>
      <color indexed="9"/>
      <name val="Arial"/>
    </font>
    <font>
      <b/>
      <i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1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37" fontId="0" fillId="0" borderId="0" xfId="0" applyNumberFormat="1"/>
    <xf numFmtId="10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7" fontId="0" fillId="0" borderId="0" xfId="0" applyNumberForma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Protection="1">
      <protection hidden="1"/>
    </xf>
    <xf numFmtId="0" fontId="3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37" fontId="0" fillId="0" borderId="7" xfId="0" applyNumberFormat="1" applyBorder="1" applyAlignment="1">
      <alignment horizontal="center" vertical="center"/>
    </xf>
    <xf numFmtId="37" fontId="0" fillId="0" borderId="0" xfId="0" applyNumberFormat="1" applyAlignment="1">
      <alignment horizontal="left" indent="2"/>
    </xf>
    <xf numFmtId="0" fontId="3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39" fontId="7" fillId="0" borderId="9" xfId="0" applyNumberFormat="1" applyFont="1" applyBorder="1" applyAlignment="1">
      <alignment horizontal="center" vertical="center"/>
    </xf>
    <xf numFmtId="165" fontId="0" fillId="0" borderId="0" xfId="1" applyFont="1"/>
    <xf numFmtId="165" fontId="0" fillId="0" borderId="0" xfId="0" applyNumberFormat="1"/>
    <xf numFmtId="0" fontId="0" fillId="4" borderId="10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 indent="1"/>
    </xf>
    <xf numFmtId="0" fontId="0" fillId="4" borderId="8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167" fontId="0" fillId="0" borderId="7" xfId="0" applyNumberFormat="1" applyBorder="1" applyAlignment="1">
      <alignment horizontal="center" vertical="center"/>
    </xf>
    <xf numFmtId="10" fontId="12" fillId="5" borderId="0" xfId="2" applyNumberFormat="1" applyFont="1" applyFill="1" applyBorder="1" applyAlignment="1" applyProtection="1">
      <alignment horizontal="right"/>
      <protection locked="0"/>
    </xf>
    <xf numFmtId="10" fontId="12" fillId="5" borderId="0" xfId="2" applyNumberFormat="1" applyFont="1" applyFill="1" applyBorder="1" applyAlignment="1" applyProtection="1">
      <alignment horizontal="center"/>
      <protection locked="0"/>
    </xf>
    <xf numFmtId="10" fontId="12" fillId="5" borderId="0" xfId="2" applyNumberFormat="1" applyFont="1" applyFill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left" vertical="center"/>
    </xf>
    <xf numFmtId="0" fontId="0" fillId="0" borderId="0" xfId="0" applyAlignment="1" applyProtection="1">
      <alignment horizontal="center" vertical="center"/>
      <protection hidden="1"/>
    </xf>
    <xf numFmtId="37" fontId="0" fillId="0" borderId="0" xfId="0" applyNumberForma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37" fontId="0" fillId="0" borderId="0" xfId="0" applyNumberFormat="1" applyProtection="1">
      <protection hidden="1"/>
    </xf>
    <xf numFmtId="0" fontId="6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13" fillId="0" borderId="5" xfId="0" applyFont="1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16" fontId="8" fillId="0" borderId="0" xfId="0" applyNumberFormat="1" applyFont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16" fontId="0" fillId="0" borderId="0" xfId="0" applyNumberFormat="1" applyAlignment="1" applyProtection="1">
      <alignment horizontal="left"/>
      <protection hidden="1"/>
    </xf>
    <xf numFmtId="39" fontId="12" fillId="0" borderId="0" xfId="0" applyNumberFormat="1" applyFont="1" applyAlignment="1" applyProtection="1">
      <alignment horizontal="center"/>
      <protection hidden="1"/>
    </xf>
    <xf numFmtId="39" fontId="0" fillId="0" borderId="0" xfId="2" applyNumberFormat="1" applyFont="1" applyAlignment="1" applyProtection="1">
      <alignment horizontal="center"/>
      <protection hidden="1"/>
    </xf>
    <xf numFmtId="37" fontId="12" fillId="0" borderId="0" xfId="0" applyNumberFormat="1" applyFont="1" applyProtection="1">
      <protection hidden="1"/>
    </xf>
    <xf numFmtId="10" fontId="12" fillId="0" borderId="0" xfId="2" applyNumberFormat="1" applyFont="1" applyBorder="1" applyAlignment="1" applyProtection="1">
      <alignment horizontal="center"/>
      <protection hidden="1"/>
    </xf>
    <xf numFmtId="37" fontId="14" fillId="0" borderId="0" xfId="0" applyNumberFormat="1" applyFont="1" applyProtection="1">
      <protection hidden="1"/>
    </xf>
    <xf numFmtId="0" fontId="0" fillId="0" borderId="0" xfId="0" applyAlignment="1" applyProtection="1">
      <alignment horizontal="left"/>
      <protection hidden="1"/>
    </xf>
    <xf numFmtId="10" fontId="12" fillId="0" borderId="0" xfId="2" applyNumberFormat="1" applyFont="1" applyAlignment="1" applyProtection="1">
      <alignment horizontal="center"/>
      <protection hidden="1"/>
    </xf>
    <xf numFmtId="10" fontId="3" fillId="0" borderId="2" xfId="0" applyNumberFormat="1" applyFont="1" applyBorder="1" applyAlignment="1" applyProtection="1">
      <alignment horizontal="center"/>
      <protection hidden="1"/>
    </xf>
    <xf numFmtId="37" fontId="3" fillId="0" borderId="2" xfId="0" applyNumberFormat="1" applyFont="1" applyBorder="1" applyAlignment="1" applyProtection="1">
      <alignment horizontal="right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4" xfId="0" applyBorder="1" applyProtection="1">
      <protection hidden="1"/>
    </xf>
    <xf numFmtId="37" fontId="3" fillId="0" borderId="0" xfId="0" applyNumberFormat="1" applyFont="1" applyAlignment="1" applyProtection="1">
      <alignment horizontal="left"/>
      <protection hidden="1"/>
    </xf>
    <xf numFmtId="37" fontId="0" fillId="0" borderId="0" xfId="0" applyNumberFormat="1" applyAlignment="1" applyProtection="1">
      <alignment horizontal="left" indent="2"/>
      <protection hidden="1"/>
    </xf>
    <xf numFmtId="0" fontId="0" fillId="0" borderId="0" xfId="0" applyAlignment="1" applyProtection="1">
      <alignment horizontal="center"/>
      <protection hidden="1"/>
    </xf>
    <xf numFmtId="10" fontId="3" fillId="0" borderId="0" xfId="0" applyNumberFormat="1" applyFont="1" applyAlignment="1" applyProtection="1">
      <alignment horizontal="center"/>
      <protection hidden="1"/>
    </xf>
    <xf numFmtId="39" fontId="3" fillId="0" borderId="0" xfId="2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166" fontId="0" fillId="0" borderId="0" xfId="0" applyNumberFormat="1" applyAlignment="1" applyProtection="1">
      <alignment horizontal="left"/>
      <protection hidden="1"/>
    </xf>
    <xf numFmtId="10" fontId="10" fillId="0" borderId="0" xfId="0" applyNumberFormat="1" applyFont="1" applyAlignment="1" applyProtection="1">
      <alignment horizontal="left"/>
      <protection hidden="1"/>
    </xf>
    <xf numFmtId="0" fontId="0" fillId="0" borderId="1" xfId="0" applyBorder="1" applyProtection="1">
      <protection hidden="1"/>
    </xf>
    <xf numFmtId="0" fontId="14" fillId="0" borderId="0" xfId="0" applyFont="1" applyAlignment="1" applyProtection="1">
      <alignment horizontal="left"/>
      <protection hidden="1"/>
    </xf>
    <xf numFmtId="39" fontId="0" fillId="0" borderId="0" xfId="0" applyNumberFormat="1" applyAlignment="1" applyProtection="1">
      <alignment horizontal="right"/>
      <protection hidden="1"/>
    </xf>
    <xf numFmtId="10" fontId="11" fillId="0" borderId="0" xfId="0" applyNumberFormat="1" applyFont="1" applyAlignment="1" applyProtection="1">
      <alignment horizontal="left"/>
      <protection hidden="1"/>
    </xf>
    <xf numFmtId="170" fontId="0" fillId="0" borderId="0" xfId="0" applyNumberFormat="1" applyProtection="1">
      <protection hidden="1"/>
    </xf>
    <xf numFmtId="10" fontId="0" fillId="0" borderId="0" xfId="2" applyNumberFormat="1" applyFont="1" applyBorder="1" applyAlignment="1" applyProtection="1">
      <alignment horizontal="right"/>
      <protection hidden="1"/>
    </xf>
    <xf numFmtId="10" fontId="3" fillId="0" borderId="0" xfId="0" applyNumberFormat="1" applyFont="1" applyAlignment="1" applyProtection="1">
      <alignment horizontal="left"/>
      <protection hidden="1"/>
    </xf>
    <xf numFmtId="10" fontId="0" fillId="0" borderId="0" xfId="2" applyNumberFormat="1" applyFont="1" applyBorder="1" applyProtection="1">
      <protection hidden="1"/>
    </xf>
    <xf numFmtId="169" fontId="0" fillId="0" borderId="0" xfId="0" applyNumberFormat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10" fontId="0" fillId="0" borderId="1" xfId="0" applyNumberFormat="1" applyBorder="1" applyProtection="1">
      <protection hidden="1"/>
    </xf>
    <xf numFmtId="17" fontId="0" fillId="0" borderId="0" xfId="1" applyNumberFormat="1" applyFont="1" applyBorder="1" applyProtection="1">
      <protection hidden="1"/>
    </xf>
    <xf numFmtId="0" fontId="3" fillId="0" borderId="1" xfId="0" applyFont="1" applyBorder="1" applyAlignment="1" applyProtection="1">
      <alignment horizontal="right" vertical="center"/>
      <protection hidden="1"/>
    </xf>
    <xf numFmtId="0" fontId="17" fillId="0" borderId="0" xfId="0" applyFont="1" applyProtection="1">
      <protection hidden="1"/>
    </xf>
    <xf numFmtId="39" fontId="17" fillId="0" borderId="0" xfId="0" applyNumberFormat="1" applyFont="1" applyProtection="1">
      <protection hidden="1"/>
    </xf>
    <xf numFmtId="0" fontId="18" fillId="2" borderId="0" xfId="0" applyFont="1" applyFill="1" applyAlignment="1" applyProtection="1">
      <alignment horizontal="right"/>
      <protection hidden="1"/>
    </xf>
    <xf numFmtId="0" fontId="3" fillId="6" borderId="2" xfId="0" applyFont="1" applyFill="1" applyBorder="1" applyAlignment="1">
      <alignment horizontal="center" vertical="center"/>
    </xf>
    <xf numFmtId="37" fontId="3" fillId="6" borderId="2" xfId="0" applyNumberFormat="1" applyFont="1" applyFill="1" applyBorder="1" applyAlignment="1">
      <alignment horizontal="center" vertical="center"/>
    </xf>
    <xf numFmtId="37" fontId="3" fillId="6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hidden="1"/>
    </xf>
    <xf numFmtId="37" fontId="0" fillId="0" borderId="1" xfId="0" applyNumberFormat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left" vertical="center"/>
    </xf>
    <xf numFmtId="0" fontId="2" fillId="0" borderId="0" xfId="0" quotePrefix="1" applyFont="1" applyAlignment="1">
      <alignment horizontal="left" vertical="top"/>
    </xf>
    <xf numFmtId="0" fontId="3" fillId="0" borderId="0" xfId="0" applyFont="1" applyAlignment="1" applyProtection="1">
      <alignment horizontal="left" vertical="center"/>
      <protection hidden="1"/>
    </xf>
    <xf numFmtId="0" fontId="14" fillId="0" borderId="0" xfId="0" applyFont="1" applyProtection="1">
      <protection hidden="1"/>
    </xf>
    <xf numFmtId="37" fontId="14" fillId="0" borderId="0" xfId="0" applyNumberFormat="1" applyFont="1" applyAlignment="1" applyProtection="1">
      <alignment vertical="center"/>
      <protection hidden="1"/>
    </xf>
    <xf numFmtId="10" fontId="0" fillId="0" borderId="0" xfId="0" applyNumberFormat="1" applyProtection="1">
      <protection hidden="1"/>
    </xf>
    <xf numFmtId="10" fontId="10" fillId="0" borderId="0" xfId="0" applyNumberFormat="1" applyFont="1" applyAlignment="1" applyProtection="1">
      <alignment horizontal="left" vertical="top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7" fontId="14" fillId="5" borderId="0" xfId="2" applyNumberFormat="1" applyFont="1" applyFill="1" applyBorder="1" applyAlignment="1" applyProtection="1">
      <alignment horizontal="right"/>
      <protection locked="0"/>
    </xf>
    <xf numFmtId="37" fontId="12" fillId="0" borderId="0" xfId="2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center"/>
      <protection hidden="1"/>
    </xf>
    <xf numFmtId="37" fontId="0" fillId="0" borderId="0" xfId="0" applyNumberFormat="1" applyAlignment="1" applyProtection="1">
      <alignment vertical="center"/>
      <protection hidden="1"/>
    </xf>
    <xf numFmtId="37" fontId="0" fillId="0" borderId="3" xfId="0" applyNumberFormat="1" applyBorder="1" applyAlignment="1" applyProtection="1">
      <alignment vertical="center"/>
      <protection hidden="1"/>
    </xf>
    <xf numFmtId="37" fontId="12" fillId="5" borderId="0" xfId="0" applyNumberFormat="1" applyFont="1" applyFill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hidden="1"/>
    </xf>
    <xf numFmtId="37" fontId="3" fillId="0" borderId="2" xfId="0" applyNumberFormat="1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 indent="1"/>
      <protection hidden="1"/>
    </xf>
    <xf numFmtId="0" fontId="14" fillId="0" borderId="1" xfId="0" applyFont="1" applyBorder="1" applyAlignment="1" applyProtection="1">
      <alignment horizontal="left" vertical="center" indent="1"/>
      <protection hidden="1"/>
    </xf>
    <xf numFmtId="168" fontId="0" fillId="0" borderId="0" xfId="2" applyNumberFormat="1" applyFont="1" applyAlignment="1" applyProtection="1">
      <alignment horizontal="left" vertical="center" indent="1"/>
      <protection hidden="1"/>
    </xf>
    <xf numFmtId="37" fontId="3" fillId="0" borderId="1" xfId="0" applyNumberFormat="1" applyFont="1" applyBorder="1" applyAlignment="1" applyProtection="1">
      <alignment horizontal="right" vertical="center"/>
      <protection hidden="1"/>
    </xf>
    <xf numFmtId="0" fontId="9" fillId="0" borderId="4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0" fillId="0" borderId="15" xfId="0" applyBorder="1"/>
    <xf numFmtId="0" fontId="0" fillId="0" borderId="0" xfId="0" applyAlignment="1" applyProtection="1">
      <alignment horizontal="left" vertical="center" indent="1"/>
      <protection hidden="1"/>
    </xf>
    <xf numFmtId="0" fontId="0" fillId="0" borderId="1" xfId="0" applyBorder="1" applyAlignment="1" applyProtection="1">
      <alignment horizontal="left" vertical="center" indent="1"/>
      <protection hidden="1"/>
    </xf>
    <xf numFmtId="37" fontId="0" fillId="0" borderId="1" xfId="0" applyNumberFormat="1" applyBorder="1" applyAlignment="1" applyProtection="1">
      <alignment vertical="center"/>
      <protection hidden="1"/>
    </xf>
    <xf numFmtId="37" fontId="14" fillId="0" borderId="0" xfId="2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165" fontId="3" fillId="0" borderId="2" xfId="0" applyNumberFormat="1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indent="2"/>
      <protection hidden="1"/>
    </xf>
    <xf numFmtId="37" fontId="3" fillId="0" borderId="0" xfId="0" applyNumberFormat="1" applyFont="1" applyAlignment="1" applyProtection="1">
      <alignment horizontal="left" indent="2"/>
      <protection hidden="1"/>
    </xf>
    <xf numFmtId="39" fontId="5" fillId="0" borderId="0" xfId="0" applyNumberFormat="1" applyFont="1" applyAlignment="1" applyProtection="1">
      <alignment horizontal="left"/>
      <protection hidden="1"/>
    </xf>
    <xf numFmtId="37" fontId="12" fillId="0" borderId="0" xfId="0" applyNumberFormat="1" applyFont="1" applyProtection="1">
      <protection locked="0"/>
    </xf>
    <xf numFmtId="0" fontId="16" fillId="0" borderId="0" xfId="0" applyFont="1" applyProtection="1">
      <protection hidden="1"/>
    </xf>
    <xf numFmtId="37" fontId="3" fillId="0" borderId="0" xfId="0" applyNumberFormat="1" applyFont="1" applyAlignment="1" applyProtection="1">
      <alignment horizontal="right" vertical="center"/>
      <protection hidden="1"/>
    </xf>
    <xf numFmtId="10" fontId="10" fillId="0" borderId="22" xfId="0" applyNumberFormat="1" applyFont="1" applyBorder="1" applyAlignment="1" applyProtection="1">
      <alignment horizontal="left" vertical="top"/>
      <protection hidden="1"/>
    </xf>
    <xf numFmtId="39" fontId="3" fillId="0" borderId="22" xfId="2" applyNumberFormat="1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10" fontId="3" fillId="0" borderId="2" xfId="0" applyNumberFormat="1" applyFont="1" applyBorder="1" applyAlignment="1" applyProtection="1">
      <alignment horizontal="center" vertical="center"/>
      <protection hidden="1"/>
    </xf>
    <xf numFmtId="39" fontId="3" fillId="0" borderId="2" xfId="2" applyNumberFormat="1" applyFont="1" applyBorder="1" applyAlignment="1" applyProtection="1">
      <alignment horizontal="center" vertical="center"/>
      <protection hidden="1"/>
    </xf>
    <xf numFmtId="171" fontId="14" fillId="5" borderId="0" xfId="0" applyNumberFormat="1" applyFont="1" applyFill="1" applyAlignment="1" applyProtection="1">
      <alignment vertical="center"/>
      <protection locked="0"/>
    </xf>
    <xf numFmtId="171" fontId="0" fillId="0" borderId="1" xfId="0" applyNumberFormat="1" applyBorder="1" applyAlignment="1" applyProtection="1">
      <alignment vertical="center"/>
      <protection hidden="1"/>
    </xf>
    <xf numFmtId="171" fontId="0" fillId="0" borderId="2" xfId="0" applyNumberFormat="1" applyBorder="1" applyAlignment="1" applyProtection="1">
      <alignment vertical="center"/>
      <protection hidden="1"/>
    </xf>
    <xf numFmtId="0" fontId="20" fillId="0" borderId="0" xfId="0" applyFont="1" applyProtection="1">
      <protection hidden="1"/>
    </xf>
    <xf numFmtId="0" fontId="19" fillId="0" borderId="14" xfId="0" applyFont="1" applyBorder="1" applyAlignment="1" applyProtection="1">
      <alignment horizontal="left" vertical="center" indent="1"/>
      <protection hidden="1"/>
    </xf>
    <xf numFmtId="0" fontId="20" fillId="0" borderId="15" xfId="0" applyFont="1" applyBorder="1" applyProtection="1">
      <protection hidden="1"/>
    </xf>
    <xf numFmtId="167" fontId="19" fillId="0" borderId="16" xfId="2" applyNumberFormat="1" applyFont="1" applyBorder="1" applyAlignment="1" applyProtection="1">
      <alignment horizontal="center" vertical="center" shrinkToFit="1"/>
      <protection hidden="1"/>
    </xf>
    <xf numFmtId="0" fontId="19" fillId="0" borderId="18" xfId="0" applyFont="1" applyBorder="1" applyAlignment="1" applyProtection="1">
      <alignment horizontal="left" vertical="center" indent="1"/>
      <protection hidden="1"/>
    </xf>
    <xf numFmtId="37" fontId="19" fillId="0" borderId="17" xfId="2" applyNumberFormat="1" applyFont="1" applyBorder="1" applyAlignment="1" applyProtection="1">
      <alignment horizontal="center" vertical="center" shrinkToFit="1"/>
      <protection hidden="1"/>
    </xf>
    <xf numFmtId="0" fontId="19" fillId="0" borderId="19" xfId="0" applyFont="1" applyBorder="1" applyAlignment="1" applyProtection="1">
      <alignment horizontal="left" vertical="center" indent="1"/>
      <protection hidden="1"/>
    </xf>
    <xf numFmtId="0" fontId="20" fillId="0" borderId="20" xfId="0" applyFont="1" applyBorder="1" applyProtection="1">
      <protection hidden="1"/>
    </xf>
    <xf numFmtId="37" fontId="19" fillId="0" borderId="21" xfId="2" applyNumberFormat="1" applyFont="1" applyBorder="1" applyAlignment="1" applyProtection="1">
      <alignment horizontal="center" vertical="center" shrinkToFit="1"/>
      <protection hidden="1"/>
    </xf>
    <xf numFmtId="0" fontId="0" fillId="0" borderId="20" xfId="0" applyBorder="1"/>
    <xf numFmtId="0" fontId="3" fillId="0" borderId="1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18</xdr:row>
          <xdr:rowOff>142875</xdr:rowOff>
        </xdr:from>
        <xdr:to>
          <xdr:col>1</xdr:col>
          <xdr:colOff>85725</xdr:colOff>
          <xdr:row>19</xdr:row>
          <xdr:rowOff>114300</xdr:rowOff>
        </xdr:to>
        <xdr:sp macro="" textlink="">
          <xdr:nvSpPr>
            <xdr:cNvPr id="2049" name="Spi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85725</xdr:rowOff>
    </xdr:from>
    <xdr:to>
      <xdr:col>3</xdr:col>
      <xdr:colOff>714375</xdr:colOff>
      <xdr:row>7</xdr:row>
      <xdr:rowOff>19050</xdr:rowOff>
    </xdr:to>
    <xdr:pic>
      <xdr:nvPicPr>
        <xdr:cNvPr id="1049" name="Picture 1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3201"/>
        <a:stretch>
          <a:fillRect/>
        </a:stretch>
      </xdr:blipFill>
      <xdr:spPr bwMode="auto">
        <a:xfrm>
          <a:off x="266700" y="609600"/>
          <a:ext cx="2295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600075</xdr:colOff>
      <xdr:row>1</xdr:row>
      <xdr:rowOff>76200</xdr:rowOff>
    </xdr:from>
    <xdr:to>
      <xdr:col>3</xdr:col>
      <xdr:colOff>238125</xdr:colOff>
      <xdr:row>2</xdr:row>
      <xdr:rowOff>85725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752475" y="600075"/>
          <a:ext cx="1333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AU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Formula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63"/>
  <sheetViews>
    <sheetView showGridLines="0" tabSelected="1" workbookViewId="0">
      <selection activeCell="D20" sqref="D20"/>
    </sheetView>
  </sheetViews>
  <sheetFormatPr defaultRowHeight="12.75" x14ac:dyDescent="0.2"/>
  <cols>
    <col min="1" max="1" width="2" customWidth="1"/>
    <col min="2" max="6" width="13.7109375" customWidth="1"/>
    <col min="7" max="7" width="12.28515625" hidden="1" customWidth="1"/>
    <col min="8" max="11" width="11.42578125" hidden="1" customWidth="1"/>
    <col min="12" max="12" width="6.28515625" style="1" customWidth="1"/>
    <col min="13" max="13" width="27.140625" customWidth="1"/>
    <col min="15" max="15" width="14.140625" customWidth="1"/>
    <col min="16" max="16" width="3.28515625" customWidth="1"/>
    <col min="21" max="21" width="12.85546875" hidden="1" customWidth="1"/>
  </cols>
  <sheetData>
    <row r="1" spans="1:16" x14ac:dyDescent="0.2">
      <c r="A1" s="42"/>
      <c r="B1" s="43"/>
      <c r="C1" s="43"/>
      <c r="D1" s="43"/>
      <c r="E1" s="43"/>
      <c r="F1" s="43"/>
      <c r="G1" s="42"/>
      <c r="H1" s="42"/>
      <c r="I1" s="42"/>
      <c r="J1" s="42"/>
      <c r="K1" s="42"/>
      <c r="L1" s="44"/>
      <c r="M1" s="42"/>
      <c r="N1" s="42"/>
      <c r="O1" s="42"/>
      <c r="P1" s="42"/>
    </row>
    <row r="2" spans="1:16" ht="25.5" x14ac:dyDescent="0.35">
      <c r="A2" s="42"/>
      <c r="B2" s="45" t="s">
        <v>40</v>
      </c>
      <c r="C2" s="46"/>
      <c r="D2" s="46"/>
      <c r="E2" s="46"/>
      <c r="F2" s="87" t="s">
        <v>78</v>
      </c>
      <c r="G2" s="9"/>
      <c r="H2" s="42"/>
      <c r="I2" s="42"/>
      <c r="J2" s="42"/>
      <c r="K2" s="42"/>
      <c r="L2" s="44"/>
      <c r="M2" s="42"/>
      <c r="N2" s="42"/>
      <c r="O2" s="42"/>
      <c r="P2" s="42"/>
    </row>
    <row r="3" spans="1:16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4"/>
      <c r="M3" s="42"/>
      <c r="N3" s="42"/>
      <c r="O3" s="42"/>
      <c r="P3" s="42"/>
    </row>
    <row r="4" spans="1:16" ht="21" customHeight="1" x14ac:dyDescent="0.2">
      <c r="A4" s="42"/>
      <c r="B4" s="47" t="s">
        <v>0</v>
      </c>
      <c r="C4" s="48"/>
      <c r="D4" s="48"/>
      <c r="E4" s="48"/>
      <c r="F4" s="48"/>
      <c r="G4" s="42"/>
      <c r="H4" s="42"/>
      <c r="I4" s="42"/>
      <c r="J4" s="42"/>
      <c r="K4" s="42"/>
      <c r="M4" s="125" t="s">
        <v>9</v>
      </c>
      <c r="N4" s="42"/>
      <c r="O4" s="42"/>
      <c r="P4" s="42"/>
    </row>
    <row r="5" spans="1:16" x14ac:dyDescent="0.2">
      <c r="A5" s="42"/>
      <c r="B5" s="49" t="s">
        <v>1</v>
      </c>
      <c r="C5" s="49" t="s">
        <v>2</v>
      </c>
      <c r="D5" s="154" t="s">
        <v>3</v>
      </c>
      <c r="E5" s="154" t="s">
        <v>4</v>
      </c>
      <c r="F5" s="154" t="s">
        <v>30</v>
      </c>
      <c r="G5" s="152" t="s">
        <v>27</v>
      </c>
      <c r="H5" s="152" t="s">
        <v>20</v>
      </c>
      <c r="I5" s="152" t="s">
        <v>55</v>
      </c>
      <c r="J5" s="155" t="s">
        <v>57</v>
      </c>
      <c r="K5" s="155" t="s">
        <v>56</v>
      </c>
      <c r="L5" s="44"/>
      <c r="M5" s="50" t="s">
        <v>39</v>
      </c>
      <c r="N5" s="42"/>
      <c r="O5" s="42"/>
      <c r="P5" s="42"/>
    </row>
    <row r="6" spans="1:16" x14ac:dyDescent="0.2">
      <c r="A6" s="42"/>
      <c r="B6" s="151" t="s">
        <v>5</v>
      </c>
      <c r="C6" s="151"/>
      <c r="D6" s="151"/>
      <c r="E6" s="151"/>
      <c r="F6" s="151"/>
      <c r="G6" s="153"/>
      <c r="H6" s="153"/>
      <c r="I6" s="153"/>
      <c r="J6" s="156"/>
      <c r="K6" s="156"/>
      <c r="L6" s="126">
        <v>1</v>
      </c>
      <c r="M6" s="52" t="s">
        <v>10</v>
      </c>
      <c r="N6" s="42"/>
      <c r="O6" s="42"/>
      <c r="P6" s="42"/>
    </row>
    <row r="7" spans="1:16" x14ac:dyDescent="0.2">
      <c r="A7" s="42"/>
      <c r="B7" s="37">
        <v>0</v>
      </c>
      <c r="C7" s="37">
        <v>2</v>
      </c>
      <c r="D7" s="53">
        <f>(B7+C7)/2</f>
        <v>1</v>
      </c>
      <c r="E7" s="35">
        <v>0.15</v>
      </c>
      <c r="F7" s="54">
        <f>IF(E7=0,0,D7*E7)</f>
        <v>0.15</v>
      </c>
      <c r="G7" s="55">
        <v>25000</v>
      </c>
      <c r="H7" s="56">
        <v>0.61</v>
      </c>
      <c r="I7" s="57">
        <f>G7*H7</f>
        <v>15250</v>
      </c>
      <c r="J7" s="57">
        <f>E7*$D$18</f>
        <v>37.5</v>
      </c>
      <c r="K7" s="57">
        <f>IF(J7&gt;0,G7/J7,0)</f>
        <v>666.66666666666663</v>
      </c>
      <c r="L7" s="127"/>
      <c r="M7" s="58" t="s">
        <v>16</v>
      </c>
      <c r="N7" s="42"/>
      <c r="O7" s="42"/>
      <c r="P7" s="42"/>
    </row>
    <row r="8" spans="1:16" x14ac:dyDescent="0.2">
      <c r="A8" s="42"/>
      <c r="B8" s="37">
        <v>3</v>
      </c>
      <c r="C8" s="37">
        <v>5</v>
      </c>
      <c r="D8" s="53">
        <f t="shared" ref="D8:D13" si="0">(B8+C8)/2</f>
        <v>4</v>
      </c>
      <c r="E8" s="36">
        <v>0.25</v>
      </c>
      <c r="F8" s="54">
        <f t="shared" ref="F8:F13" si="1">IF(E8=0,0,D8*E8)</f>
        <v>1</v>
      </c>
      <c r="G8" s="55">
        <v>125000</v>
      </c>
      <c r="H8" s="59">
        <v>0.65</v>
      </c>
      <c r="I8" s="57">
        <f t="shared" ref="I8:I13" si="2">G8*H8</f>
        <v>81250</v>
      </c>
      <c r="J8" s="57">
        <f>E8*$D$18</f>
        <v>62.5</v>
      </c>
      <c r="K8" s="57">
        <f t="shared" ref="K8:K13" si="3">IF(J8&gt;0,G8/J8,0)</f>
        <v>2000</v>
      </c>
      <c r="L8" s="126">
        <v>2</v>
      </c>
      <c r="M8" s="58" t="s">
        <v>11</v>
      </c>
      <c r="N8" s="42"/>
      <c r="O8" s="42"/>
      <c r="P8" s="42"/>
    </row>
    <row r="9" spans="1:16" x14ac:dyDescent="0.2">
      <c r="A9" s="42"/>
      <c r="B9" s="37">
        <v>6</v>
      </c>
      <c r="C9" s="37">
        <v>10</v>
      </c>
      <c r="D9" s="53">
        <f t="shared" si="0"/>
        <v>8</v>
      </c>
      <c r="E9" s="36">
        <v>0.5</v>
      </c>
      <c r="F9" s="54">
        <f t="shared" si="1"/>
        <v>4</v>
      </c>
      <c r="G9" s="55">
        <v>115000</v>
      </c>
      <c r="H9" s="59">
        <v>0.62</v>
      </c>
      <c r="I9" s="57">
        <f t="shared" si="2"/>
        <v>71300</v>
      </c>
      <c r="J9" s="57">
        <f>E9*$D$18</f>
        <v>125</v>
      </c>
      <c r="K9" s="57">
        <f t="shared" si="3"/>
        <v>920</v>
      </c>
      <c r="L9" s="126"/>
      <c r="M9" s="58" t="s">
        <v>12</v>
      </c>
      <c r="N9" s="42"/>
      <c r="O9" s="42"/>
      <c r="P9" s="42"/>
    </row>
    <row r="10" spans="1:16" x14ac:dyDescent="0.2">
      <c r="A10" s="42"/>
      <c r="B10" s="37">
        <v>11</v>
      </c>
      <c r="C10" s="37">
        <v>20</v>
      </c>
      <c r="D10" s="53">
        <f t="shared" si="0"/>
        <v>15.5</v>
      </c>
      <c r="E10" s="36">
        <v>0.1</v>
      </c>
      <c r="F10" s="54">
        <f t="shared" si="1"/>
        <v>1.55</v>
      </c>
      <c r="G10" s="55">
        <f>875000-265000</f>
        <v>610000</v>
      </c>
      <c r="H10" s="59">
        <v>0.55000000000000004</v>
      </c>
      <c r="I10" s="57">
        <f t="shared" si="2"/>
        <v>335500</v>
      </c>
      <c r="J10" s="57">
        <f t="shared" ref="J10:J13" si="4">E10*$D$18</f>
        <v>25</v>
      </c>
      <c r="K10" s="57">
        <f t="shared" si="3"/>
        <v>24400</v>
      </c>
      <c r="L10" s="65"/>
      <c r="M10" s="58" t="s">
        <v>26</v>
      </c>
      <c r="N10" s="42"/>
      <c r="O10" s="42"/>
      <c r="P10" s="42"/>
    </row>
    <row r="11" spans="1:16" x14ac:dyDescent="0.2">
      <c r="A11" s="42"/>
      <c r="B11" s="37">
        <v>21</v>
      </c>
      <c r="C11" s="37">
        <v>30</v>
      </c>
      <c r="D11" s="53">
        <f t="shared" si="0"/>
        <v>25.5</v>
      </c>
      <c r="E11" s="36">
        <v>0</v>
      </c>
      <c r="F11" s="54">
        <f t="shared" si="1"/>
        <v>0</v>
      </c>
      <c r="G11" s="55">
        <v>0</v>
      </c>
      <c r="H11" s="59">
        <v>0</v>
      </c>
      <c r="I11" s="57">
        <f t="shared" si="2"/>
        <v>0</v>
      </c>
      <c r="J11" s="57">
        <f t="shared" si="4"/>
        <v>0</v>
      </c>
      <c r="K11" s="57">
        <f t="shared" si="3"/>
        <v>0</v>
      </c>
      <c r="L11" s="127">
        <v>3</v>
      </c>
      <c r="M11" s="58" t="s">
        <v>14</v>
      </c>
      <c r="N11" s="42"/>
      <c r="O11" s="42"/>
      <c r="P11" s="42"/>
    </row>
    <row r="12" spans="1:16" x14ac:dyDescent="0.2">
      <c r="A12" s="42"/>
      <c r="B12" s="37">
        <v>31</v>
      </c>
      <c r="C12" s="37">
        <v>40</v>
      </c>
      <c r="D12" s="53">
        <f t="shared" si="0"/>
        <v>35.5</v>
      </c>
      <c r="E12" s="36"/>
      <c r="F12" s="54">
        <f t="shared" si="1"/>
        <v>0</v>
      </c>
      <c r="G12" s="55">
        <v>0</v>
      </c>
      <c r="H12" s="59">
        <v>0</v>
      </c>
      <c r="I12" s="57">
        <f t="shared" si="2"/>
        <v>0</v>
      </c>
      <c r="J12" s="57">
        <f t="shared" si="4"/>
        <v>0</v>
      </c>
      <c r="K12" s="57">
        <f t="shared" si="3"/>
        <v>0</v>
      </c>
      <c r="L12" s="127"/>
      <c r="M12" s="58" t="s">
        <v>15</v>
      </c>
      <c r="N12" s="42"/>
      <c r="O12" s="42"/>
      <c r="P12" s="42"/>
    </row>
    <row r="13" spans="1:16" x14ac:dyDescent="0.2">
      <c r="A13" s="42"/>
      <c r="B13" s="38">
        <v>41</v>
      </c>
      <c r="C13" s="38">
        <v>100</v>
      </c>
      <c r="D13" s="53">
        <f t="shared" si="0"/>
        <v>70.5</v>
      </c>
      <c r="E13" s="36"/>
      <c r="F13" s="54">
        <f t="shared" si="1"/>
        <v>0</v>
      </c>
      <c r="G13" s="55">
        <v>0</v>
      </c>
      <c r="H13" s="59">
        <v>0</v>
      </c>
      <c r="I13" s="57">
        <f t="shared" si="2"/>
        <v>0</v>
      </c>
      <c r="J13" s="57">
        <f t="shared" si="4"/>
        <v>0</v>
      </c>
      <c r="K13" s="57">
        <f t="shared" si="3"/>
        <v>0</v>
      </c>
      <c r="L13" s="127">
        <v>4</v>
      </c>
      <c r="M13" s="58" t="s">
        <v>13</v>
      </c>
      <c r="N13" s="42"/>
      <c r="O13" s="42"/>
      <c r="P13" s="42"/>
    </row>
    <row r="14" spans="1:16" ht="21.75" customHeight="1" thickBot="1" x14ac:dyDescent="0.25">
      <c r="A14" s="42"/>
      <c r="B14" s="134"/>
      <c r="C14" s="134"/>
      <c r="D14" s="135"/>
      <c r="E14" s="136">
        <f>SUM(E7:E13)</f>
        <v>1</v>
      </c>
      <c r="F14" s="137">
        <f>SUM(F7:F13)</f>
        <v>6.7</v>
      </c>
      <c r="G14" s="61">
        <f>SUM(G7:G13)</f>
        <v>875000</v>
      </c>
      <c r="H14" s="60">
        <f>IF(G14&lt;=0,0,I14/G14)</f>
        <v>0.57520000000000004</v>
      </c>
      <c r="I14" s="61">
        <f>SUM(I7:I13)</f>
        <v>503300</v>
      </c>
      <c r="J14" s="61">
        <f>SUM(J7:J13)</f>
        <v>250</v>
      </c>
      <c r="K14" s="61">
        <f>IF(J14&gt;0,G14/J14)</f>
        <v>3500</v>
      </c>
      <c r="L14" s="14"/>
      <c r="M14" s="44" t="s">
        <v>46</v>
      </c>
      <c r="P14" s="42"/>
    </row>
    <row r="15" spans="1:16" ht="26.25" customHeight="1" thickTop="1" x14ac:dyDescent="0.2">
      <c r="A15" s="42"/>
      <c r="B15" s="113" t="s">
        <v>8</v>
      </c>
      <c r="C15" s="62"/>
      <c r="D15" s="63"/>
      <c r="E15" s="132" t="str">
        <f>IF(E14&gt;1,"The % should summ to 100%","")</f>
        <v/>
      </c>
      <c r="F15" s="133"/>
      <c r="G15" s="64"/>
      <c r="H15" s="42"/>
      <c r="I15" s="42"/>
      <c r="J15" s="42"/>
      <c r="K15" s="42"/>
      <c r="M15" s="58"/>
      <c r="N15" s="42"/>
      <c r="O15" s="42"/>
      <c r="P15" s="42"/>
    </row>
    <row r="16" spans="1:16" ht="20.100000000000001" customHeight="1" x14ac:dyDescent="0.2">
      <c r="A16" s="85"/>
      <c r="B16" s="100" t="s">
        <v>77</v>
      </c>
      <c r="C16" s="66"/>
      <c r="D16" s="101">
        <v>1200000</v>
      </c>
      <c r="E16" s="99"/>
      <c r="F16" s="68"/>
      <c r="G16" s="69"/>
      <c r="H16" s="42"/>
      <c r="I16" s="42"/>
      <c r="J16" s="42"/>
      <c r="K16" s="44"/>
      <c r="L16" s="44"/>
      <c r="M16" s="58"/>
      <c r="N16" s="42"/>
      <c r="O16" s="70"/>
      <c r="P16" s="42"/>
    </row>
    <row r="17" spans="1:21" ht="20.100000000000001" customHeight="1" x14ac:dyDescent="0.25">
      <c r="A17" s="85">
        <f>IF(D19=0,D19+0.00000001,D19)</f>
        <v>0.06</v>
      </c>
      <c r="B17" s="58" t="s">
        <v>6</v>
      </c>
      <c r="C17" s="66"/>
      <c r="D17" s="101">
        <v>780000</v>
      </c>
      <c r="E17" s="67"/>
      <c r="F17" s="68"/>
      <c r="G17" s="69"/>
      <c r="H17" s="42"/>
      <c r="I17" s="42"/>
      <c r="J17" s="42"/>
      <c r="K17" s="44"/>
      <c r="L17" s="44"/>
      <c r="M17" s="128"/>
      <c r="N17" s="42"/>
      <c r="O17" s="42"/>
      <c r="P17" s="42"/>
    </row>
    <row r="18" spans="1:21" ht="20.100000000000001" customHeight="1" x14ac:dyDescent="0.2">
      <c r="A18" s="85">
        <f>IF(OR(D19=D20,D20=0),D20+0.000001,D20)</f>
        <v>6.0000999999999999E-2</v>
      </c>
      <c r="B18" s="73" t="s">
        <v>72</v>
      </c>
      <c r="C18" s="66"/>
      <c r="D18" s="101">
        <v>250</v>
      </c>
      <c r="E18" s="67"/>
      <c r="F18" s="68"/>
      <c r="G18" s="69"/>
      <c r="H18" s="42"/>
      <c r="I18" s="42"/>
      <c r="J18" s="42"/>
      <c r="K18" s="44"/>
      <c r="L18" s="44"/>
      <c r="P18" s="76"/>
    </row>
    <row r="19" spans="1:21" ht="20.100000000000001" customHeight="1" x14ac:dyDescent="0.2">
      <c r="A19" s="85"/>
      <c r="B19" s="58" t="s">
        <v>68</v>
      </c>
      <c r="C19" s="66"/>
      <c r="D19" s="34">
        <v>0.06</v>
      </c>
      <c r="E19" s="71" t="str">
        <f>IF($D$19=$D$20,"","")</f>
        <v/>
      </c>
      <c r="F19" s="68"/>
      <c r="G19" s="69"/>
      <c r="H19" s="42"/>
      <c r="I19" s="42"/>
      <c r="J19" s="42"/>
      <c r="K19" s="44"/>
      <c r="L19" s="44"/>
      <c r="P19" s="76"/>
    </row>
    <row r="20" spans="1:21" ht="20.100000000000001" customHeight="1" x14ac:dyDescent="0.2">
      <c r="A20" s="86">
        <f>F14</f>
        <v>6.7</v>
      </c>
      <c r="B20" s="58" t="s">
        <v>71</v>
      </c>
      <c r="C20" s="66"/>
      <c r="D20" s="34">
        <v>0.06</v>
      </c>
      <c r="E20" s="71" t="str">
        <f>IF($D$19=$D$20,"  ","")</f>
        <v xml:space="preserve">  </v>
      </c>
      <c r="F20" s="68"/>
      <c r="G20" s="69"/>
      <c r="H20" s="42"/>
      <c r="I20" s="42"/>
      <c r="J20" s="42"/>
      <c r="K20" s="44"/>
      <c r="L20" s="44"/>
      <c r="P20" s="76"/>
    </row>
    <row r="21" spans="1:21" ht="20.100000000000001" customHeight="1" x14ac:dyDescent="0.2">
      <c r="A21" s="85"/>
      <c r="B21" s="73" t="s">
        <v>76</v>
      </c>
      <c r="C21" s="66"/>
      <c r="D21" s="102">
        <f>D16/D18</f>
        <v>4800</v>
      </c>
      <c r="E21" s="67"/>
      <c r="F21" s="68"/>
      <c r="G21" s="69"/>
      <c r="H21" s="42"/>
      <c r="I21" s="42"/>
      <c r="J21" s="42"/>
      <c r="K21" s="42"/>
      <c r="L21" s="44"/>
      <c r="P21" s="76"/>
    </row>
    <row r="22" spans="1:21" ht="20.100000000000001" customHeight="1" x14ac:dyDescent="0.2">
      <c r="A22" s="85"/>
      <c r="B22" s="58" t="s">
        <v>42</v>
      </c>
      <c r="C22" s="66"/>
      <c r="D22" s="74">
        <f>F14</f>
        <v>6.7</v>
      </c>
      <c r="E22" s="75"/>
      <c r="F22" s="68"/>
      <c r="G22" s="69"/>
      <c r="H22" s="42"/>
      <c r="I22" s="42"/>
      <c r="J22" s="42"/>
      <c r="K22" s="42"/>
      <c r="L22" s="44"/>
      <c r="M22" s="96"/>
      <c r="N22" s="79"/>
      <c r="O22" s="97"/>
      <c r="P22" s="76"/>
    </row>
    <row r="23" spans="1:21" ht="20.100000000000001" customHeight="1" x14ac:dyDescent="0.2">
      <c r="A23" s="85"/>
      <c r="B23" s="58" t="s">
        <v>73</v>
      </c>
      <c r="C23" s="66"/>
      <c r="D23" s="77">
        <f>1-D24</f>
        <v>0.85074626865671643</v>
      </c>
      <c r="E23" s="78"/>
      <c r="F23" s="77"/>
      <c r="G23" s="80"/>
      <c r="H23" s="42"/>
      <c r="I23" s="42"/>
      <c r="J23" s="42"/>
      <c r="K23" s="42"/>
      <c r="L23" s="44"/>
      <c r="M23" s="73"/>
      <c r="N23" s="129"/>
      <c r="O23" s="130"/>
      <c r="P23" s="76"/>
    </row>
    <row r="24" spans="1:21" ht="20.100000000000001" customHeight="1" x14ac:dyDescent="0.2">
      <c r="A24" s="42"/>
      <c r="B24" s="58" t="s">
        <v>74</v>
      </c>
      <c r="C24" s="66"/>
      <c r="D24" s="79">
        <f>100/D22/100</f>
        <v>0.1492537313432836</v>
      </c>
      <c r="E24" s="67"/>
      <c r="F24" s="68"/>
      <c r="G24" s="80"/>
      <c r="H24" s="42"/>
      <c r="I24" s="42"/>
      <c r="J24" s="42"/>
      <c r="K24" s="42"/>
      <c r="L24" s="44"/>
      <c r="M24" s="95"/>
      <c r="N24" s="95"/>
      <c r="O24" s="131"/>
      <c r="P24" s="76"/>
    </row>
    <row r="25" spans="1:21" ht="18.75" customHeight="1" x14ac:dyDescent="0.2">
      <c r="A25" s="42"/>
      <c r="B25" s="42"/>
      <c r="C25" s="115"/>
      <c r="D25" s="115"/>
      <c r="E25" s="42"/>
      <c r="F25" s="42"/>
      <c r="G25" s="42"/>
      <c r="H25" s="42"/>
      <c r="I25" s="42"/>
      <c r="J25" s="42"/>
      <c r="K25" s="42"/>
      <c r="L25" s="44"/>
      <c r="M25" s="114"/>
      <c r="N25" s="98"/>
      <c r="O25" s="57"/>
      <c r="P25" s="76"/>
      <c r="U25" s="2">
        <f>D23</f>
        <v>0.85074626865671643</v>
      </c>
    </row>
    <row r="26" spans="1:21" ht="24.95" customHeight="1" x14ac:dyDescent="0.2">
      <c r="A26" s="42"/>
      <c r="B26" s="117" t="s">
        <v>44</v>
      </c>
      <c r="C26" s="82"/>
      <c r="D26" s="72"/>
      <c r="E26" s="112" t="s">
        <v>82</v>
      </c>
      <c r="F26" s="42"/>
      <c r="G26" s="42"/>
      <c r="H26" s="42"/>
      <c r="I26" s="42"/>
      <c r="J26" s="42"/>
      <c r="K26" s="42"/>
      <c r="L26" s="44"/>
      <c r="P26" s="76"/>
      <c r="U26" s="2">
        <f>(1+D19-D23*(1+D20))</f>
        <v>0.15820895522388057</v>
      </c>
    </row>
    <row r="27" spans="1:21" ht="24.95" customHeight="1" x14ac:dyDescent="0.2">
      <c r="A27" s="42"/>
      <c r="B27" s="103" t="s">
        <v>27</v>
      </c>
      <c r="C27" s="103"/>
      <c r="D27" s="103"/>
      <c r="E27" s="104">
        <f>D16</f>
        <v>1200000</v>
      </c>
      <c r="F27" s="44"/>
      <c r="G27" s="81"/>
      <c r="H27" s="81"/>
      <c r="I27" s="81"/>
      <c r="J27" s="81"/>
      <c r="K27" s="42"/>
      <c r="L27" s="44"/>
      <c r="U27" s="21">
        <f>U25/U26</f>
        <v>5.3773584905660385</v>
      </c>
    </row>
    <row r="28" spans="1:21" ht="24.95" customHeight="1" x14ac:dyDescent="0.2">
      <c r="A28" s="42"/>
      <c r="B28" s="120" t="s">
        <v>28</v>
      </c>
      <c r="C28" s="107"/>
      <c r="D28" s="107"/>
      <c r="E28" s="121">
        <f>E27-E29</f>
        <v>420000</v>
      </c>
      <c r="F28" s="111">
        <f>E28/E27</f>
        <v>0.35</v>
      </c>
      <c r="G28" s="42"/>
      <c r="H28" s="42"/>
      <c r="I28" s="42"/>
      <c r="J28" s="42"/>
      <c r="K28" s="42"/>
      <c r="L28" s="44"/>
      <c r="U28" s="22">
        <f>(D21*F29)*U27</f>
        <v>16777.358490566039</v>
      </c>
    </row>
    <row r="29" spans="1:21" ht="24.95" customHeight="1" x14ac:dyDescent="0.2">
      <c r="A29" s="42"/>
      <c r="B29" s="95" t="s">
        <v>6</v>
      </c>
      <c r="C29" s="103"/>
      <c r="D29" s="103"/>
      <c r="E29" s="122">
        <f>D17</f>
        <v>780000</v>
      </c>
      <c r="F29" s="111">
        <f>E29/E27</f>
        <v>0.65</v>
      </c>
      <c r="G29" s="42"/>
      <c r="H29" s="42"/>
      <c r="I29" s="42"/>
      <c r="J29" s="42"/>
      <c r="K29" s="42"/>
      <c r="L29" s="44"/>
    </row>
    <row r="30" spans="1:21" ht="24.95" customHeight="1" x14ac:dyDescent="0.2">
      <c r="A30" s="42"/>
      <c r="B30" s="119" t="s">
        <v>29</v>
      </c>
      <c r="C30" s="103"/>
      <c r="D30" s="103"/>
      <c r="E30" s="106">
        <v>180000</v>
      </c>
      <c r="F30" s="111">
        <f>E30/E27</f>
        <v>0.15</v>
      </c>
      <c r="G30" s="42"/>
      <c r="H30" s="42"/>
      <c r="I30" s="42"/>
      <c r="J30" s="42"/>
      <c r="K30" s="42"/>
      <c r="L30" s="44"/>
    </row>
    <row r="31" spans="1:21" ht="24.95" customHeight="1" x14ac:dyDescent="0.2">
      <c r="A31" s="42"/>
      <c r="B31" s="123" t="s">
        <v>54</v>
      </c>
      <c r="C31" s="103"/>
      <c r="D31" s="103"/>
      <c r="E31" s="105">
        <f>E27-E28-E30</f>
        <v>600000</v>
      </c>
      <c r="F31" s="111">
        <f>E31/E27</f>
        <v>0.5</v>
      </c>
      <c r="G31" s="42"/>
      <c r="H31" s="42"/>
      <c r="I31" s="42"/>
      <c r="J31" s="42"/>
      <c r="K31" s="42"/>
      <c r="L31" s="44"/>
    </row>
    <row r="32" spans="1:21" ht="24.95" customHeight="1" x14ac:dyDescent="0.2">
      <c r="A32" s="42"/>
      <c r="B32" s="109" t="s">
        <v>81</v>
      </c>
      <c r="C32" s="103"/>
      <c r="D32" s="103"/>
      <c r="E32" s="138">
        <v>-250000</v>
      </c>
      <c r="F32" s="111"/>
      <c r="G32" s="42"/>
      <c r="H32" s="42"/>
      <c r="I32" s="42"/>
      <c r="J32" s="42"/>
      <c r="K32" s="42"/>
      <c r="L32" s="44"/>
      <c r="M32" s="42"/>
      <c r="N32" s="42"/>
      <c r="O32" s="42"/>
      <c r="P32" s="76"/>
    </row>
    <row r="33" spans="1:16" ht="24.95" customHeight="1" x14ac:dyDescent="0.2">
      <c r="A33" s="42"/>
      <c r="B33" s="110" t="s">
        <v>69</v>
      </c>
      <c r="C33" s="107"/>
      <c r="D33" s="107"/>
      <c r="E33" s="138"/>
      <c r="F33" s="111"/>
      <c r="G33" s="42"/>
      <c r="H33" s="42"/>
      <c r="I33" s="42"/>
      <c r="J33" s="42"/>
      <c r="K33" s="42"/>
      <c r="L33" s="44"/>
      <c r="M33" s="42"/>
      <c r="N33" s="42"/>
      <c r="O33" s="42"/>
      <c r="P33" s="76"/>
    </row>
    <row r="34" spans="1:16" ht="24.95" customHeight="1" thickBot="1" x14ac:dyDescent="0.25">
      <c r="A34" s="42"/>
      <c r="B34" s="116" t="s">
        <v>43</v>
      </c>
      <c r="C34" s="116"/>
      <c r="D34" s="116"/>
      <c r="E34" s="124">
        <f>SUM(E31:E33)</f>
        <v>350000</v>
      </c>
      <c r="F34" s="111">
        <f>E34/E27</f>
        <v>0.29166666666666669</v>
      </c>
      <c r="G34" s="42"/>
      <c r="H34" s="42"/>
      <c r="I34" s="42"/>
      <c r="J34" s="42"/>
      <c r="K34" s="42"/>
      <c r="L34" s="44"/>
      <c r="M34" s="42"/>
      <c r="N34" s="42"/>
      <c r="O34" s="42"/>
      <c r="P34" s="76"/>
    </row>
    <row r="35" spans="1:16" ht="18" customHeight="1" thickTop="1" x14ac:dyDescent="0.2">
      <c r="A35" s="42"/>
      <c r="B35" s="42"/>
      <c r="C35" s="83"/>
      <c r="D35" s="42"/>
      <c r="E35" s="42"/>
      <c r="F35" s="42"/>
      <c r="G35" s="42"/>
      <c r="H35" s="42"/>
      <c r="I35" s="42"/>
      <c r="J35" s="42"/>
      <c r="K35" s="42"/>
      <c r="L35" s="44"/>
      <c r="M35" s="42"/>
      <c r="N35" s="42"/>
      <c r="O35" s="42"/>
      <c r="P35" s="76"/>
    </row>
    <row r="36" spans="1:16" ht="24.95" customHeight="1" x14ac:dyDescent="0.2">
      <c r="A36" s="42"/>
      <c r="B36" s="117" t="s">
        <v>34</v>
      </c>
      <c r="C36" s="72"/>
      <c r="D36" s="72"/>
      <c r="E36" s="84" t="s">
        <v>36</v>
      </c>
      <c r="F36" s="84" t="s">
        <v>37</v>
      </c>
      <c r="G36" s="42"/>
      <c r="H36" s="42"/>
      <c r="I36" s="42"/>
      <c r="J36" s="42"/>
      <c r="K36" s="42"/>
      <c r="L36" s="44"/>
      <c r="M36" s="42"/>
      <c r="N36" s="42"/>
      <c r="O36" s="42"/>
      <c r="P36" s="76"/>
    </row>
    <row r="37" spans="1:16" ht="24.95" customHeight="1" x14ac:dyDescent="0.2">
      <c r="A37" s="42"/>
      <c r="B37" s="103" t="s">
        <v>45</v>
      </c>
      <c r="C37" s="103"/>
      <c r="D37" s="103"/>
      <c r="E37" s="104">
        <f>E46</f>
        <v>19720.807736669773</v>
      </c>
      <c r="F37" s="104">
        <f>E37*$E$40</f>
        <v>4930201.9341674428</v>
      </c>
      <c r="G37" s="42"/>
      <c r="H37" s="42"/>
      <c r="I37" s="42"/>
      <c r="J37" s="42"/>
      <c r="K37" s="42"/>
      <c r="L37" s="44"/>
      <c r="M37" s="42"/>
      <c r="N37" s="42"/>
      <c r="O37" s="42"/>
      <c r="P37" s="76"/>
    </row>
    <row r="38" spans="1:16" ht="24.95" customHeight="1" x14ac:dyDescent="0.2">
      <c r="A38" s="42"/>
      <c r="B38" s="103" t="s">
        <v>35</v>
      </c>
      <c r="C38" s="103"/>
      <c r="D38" s="103"/>
      <c r="E38" s="139">
        <f>-Table!H17</f>
        <v>-4550.9433962264147</v>
      </c>
      <c r="F38" s="139">
        <f>E38*$E$40</f>
        <v>-1137735.8490566036</v>
      </c>
      <c r="G38" s="42"/>
      <c r="H38" s="42"/>
      <c r="I38" s="42"/>
      <c r="J38" s="42"/>
      <c r="K38" s="42"/>
      <c r="L38" s="44"/>
      <c r="M38" s="42"/>
      <c r="N38" s="42"/>
      <c r="O38" s="42"/>
      <c r="P38" s="76"/>
    </row>
    <row r="39" spans="1:16" ht="24.95" customHeight="1" thickBot="1" x14ac:dyDescent="0.25">
      <c r="A39" s="42"/>
      <c r="B39" s="103" t="s">
        <v>38</v>
      </c>
      <c r="C39" s="103"/>
      <c r="D39" s="103"/>
      <c r="E39" s="140">
        <f>E37+E38</f>
        <v>15169.864340443357</v>
      </c>
      <c r="F39" s="140">
        <f>F37+F38</f>
        <v>3792466.0851108395</v>
      </c>
      <c r="G39" s="44"/>
      <c r="H39" s="81"/>
      <c r="I39" s="81"/>
      <c r="J39" s="81"/>
      <c r="K39" s="42"/>
      <c r="L39" s="44"/>
      <c r="M39" s="42"/>
      <c r="N39" s="42"/>
      <c r="O39" s="42"/>
      <c r="P39" s="76"/>
    </row>
    <row r="40" spans="1:16" ht="24.95" customHeight="1" thickTop="1" x14ac:dyDescent="0.2">
      <c r="A40" s="42"/>
      <c r="B40" s="107" t="s">
        <v>72</v>
      </c>
      <c r="C40" s="51"/>
      <c r="D40" s="51"/>
      <c r="E40" s="97">
        <f>D18</f>
        <v>250</v>
      </c>
      <c r="F40" s="42"/>
      <c r="G40" s="42"/>
      <c r="H40" s="42"/>
      <c r="I40" s="42"/>
      <c r="J40" s="42"/>
      <c r="K40" s="42"/>
      <c r="L40" s="44"/>
      <c r="M40" s="42"/>
      <c r="N40" s="42"/>
      <c r="O40" s="42"/>
      <c r="P40" s="76"/>
    </row>
    <row r="41" spans="1:16" ht="24.95" customHeight="1" thickBot="1" x14ac:dyDescent="0.25">
      <c r="A41" s="42"/>
      <c r="B41" s="123" t="s">
        <v>75</v>
      </c>
      <c r="C41" s="123"/>
      <c r="D41" s="123"/>
      <c r="E41" s="108">
        <f>E39*E40</f>
        <v>3792466.0851108395</v>
      </c>
      <c r="F41" s="42"/>
      <c r="G41" s="42"/>
      <c r="H41" s="42"/>
      <c r="I41" s="42"/>
      <c r="J41" s="42"/>
      <c r="K41" s="42"/>
      <c r="L41" s="44"/>
      <c r="M41" s="42"/>
      <c r="N41" s="42"/>
      <c r="O41" s="42"/>
      <c r="P41" s="42"/>
    </row>
    <row r="42" spans="1:16" ht="12.75" customHeight="1" thickTop="1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4"/>
      <c r="M42" s="42"/>
      <c r="N42" s="42"/>
      <c r="O42" s="42"/>
      <c r="P42" s="42"/>
    </row>
    <row r="43" spans="1:16" ht="12.75" customHeight="1" thickBot="1" x14ac:dyDescent="0.25">
      <c r="A43" s="42"/>
      <c r="G43" s="42"/>
      <c r="H43" s="42"/>
      <c r="I43" s="42"/>
      <c r="J43" s="42"/>
      <c r="K43" s="42"/>
      <c r="L43" s="44"/>
      <c r="M43" s="42"/>
      <c r="N43" s="42"/>
      <c r="O43" s="42"/>
      <c r="P43" s="42"/>
    </row>
    <row r="44" spans="1:16" ht="24.95" customHeight="1" x14ac:dyDescent="0.2">
      <c r="A44" s="42"/>
      <c r="B44" s="142" t="s">
        <v>21</v>
      </c>
      <c r="C44" s="143"/>
      <c r="D44" s="118"/>
      <c r="E44" s="144">
        <f>IF(ISERROR(($F$29/($A$17-$A$18))*(1-((1+$A$18)/(1+$A$17))^$D$22))=TRUE,"Assumption Error",($F$29/($A$17-$A$18))*(1-((1+$A$18)/(1+$A$17))^$D$22))</f>
        <v>4.1085016118062025</v>
      </c>
      <c r="F44" s="42"/>
      <c r="G44" s="42"/>
      <c r="H44" s="42"/>
      <c r="I44" s="42"/>
      <c r="J44" s="42"/>
      <c r="K44" s="42"/>
      <c r="L44" s="44"/>
      <c r="M44" s="42"/>
      <c r="N44" s="42"/>
      <c r="O44" s="42"/>
      <c r="P44" s="42"/>
    </row>
    <row r="45" spans="1:16" ht="24.95" customHeight="1" x14ac:dyDescent="0.2">
      <c r="A45" s="42"/>
      <c r="B45" s="145" t="s">
        <v>76</v>
      </c>
      <c r="C45" s="141"/>
      <c r="E45" s="146">
        <f>D21</f>
        <v>4800</v>
      </c>
      <c r="G45" s="42"/>
      <c r="H45" s="42"/>
      <c r="I45" s="42"/>
      <c r="J45" s="42"/>
      <c r="K45" s="42"/>
      <c r="L45" s="44"/>
      <c r="M45" s="42"/>
      <c r="N45" s="42"/>
      <c r="O45" s="42"/>
      <c r="P45" s="44"/>
    </row>
    <row r="46" spans="1:16" ht="24.95" customHeight="1" thickBot="1" x14ac:dyDescent="0.25">
      <c r="A46" s="42"/>
      <c r="B46" s="147" t="s">
        <v>7</v>
      </c>
      <c r="C46" s="148"/>
      <c r="D46" s="150"/>
      <c r="E46" s="149">
        <f>IF(ISERROR($E$44*$D$21)=TRUE,"Assumption Error",$E$44*$D$21)</f>
        <v>19720.807736669773</v>
      </c>
      <c r="G46" s="42"/>
      <c r="H46" s="42"/>
      <c r="I46" s="42"/>
      <c r="J46" s="42"/>
      <c r="K46" s="42"/>
      <c r="L46" s="44"/>
      <c r="M46" s="42"/>
      <c r="N46" s="42"/>
      <c r="O46" s="42"/>
      <c r="P46" s="42"/>
    </row>
    <row r="47" spans="1:16" x14ac:dyDescent="0.2">
      <c r="A47" s="42"/>
      <c r="G47" s="42"/>
      <c r="H47" s="42"/>
      <c r="I47" s="42"/>
      <c r="J47" s="42"/>
      <c r="K47" s="42"/>
      <c r="L47" s="44"/>
      <c r="M47" s="42"/>
      <c r="N47" s="42"/>
      <c r="O47" s="42"/>
      <c r="P47" s="42"/>
    </row>
    <row r="48" spans="1:16" x14ac:dyDescent="0.2">
      <c r="A48" s="42"/>
      <c r="G48" s="42"/>
      <c r="H48" s="42"/>
      <c r="I48" s="42"/>
      <c r="J48" s="42"/>
      <c r="K48" s="42"/>
      <c r="L48" s="44"/>
      <c r="M48" s="42"/>
      <c r="N48" s="42"/>
      <c r="O48" s="42"/>
      <c r="P48" s="42"/>
    </row>
    <row r="49" spans="1:16" x14ac:dyDescent="0.2">
      <c r="A49" s="42"/>
      <c r="G49" s="42"/>
      <c r="H49" s="42"/>
      <c r="I49" s="42"/>
      <c r="J49" s="42"/>
      <c r="K49" s="42"/>
      <c r="L49" s="44"/>
      <c r="M49" s="42"/>
      <c r="N49" s="42"/>
      <c r="O49" s="42"/>
      <c r="P49" s="42"/>
    </row>
    <row r="50" spans="1:16" x14ac:dyDescent="0.2">
      <c r="A50" s="42"/>
      <c r="G50" s="42"/>
      <c r="H50" s="42"/>
      <c r="I50" s="42"/>
      <c r="J50" s="42"/>
      <c r="K50" s="42"/>
      <c r="L50" s="44"/>
      <c r="M50" s="42"/>
      <c r="N50" s="42"/>
      <c r="O50" s="42"/>
      <c r="P50" s="42"/>
    </row>
    <row r="51" spans="1:16" ht="21.75" customHeight="1" x14ac:dyDescent="0.2">
      <c r="A51" s="42"/>
      <c r="G51" s="42"/>
      <c r="H51" s="42"/>
      <c r="I51" s="42"/>
      <c r="J51" s="42"/>
      <c r="K51" s="42"/>
      <c r="L51" s="44"/>
      <c r="M51" s="42"/>
      <c r="N51" s="42"/>
      <c r="O51" s="42"/>
      <c r="P51" s="42"/>
    </row>
    <row r="52" spans="1:16" x14ac:dyDescent="0.2">
      <c r="A52" s="42"/>
      <c r="G52" s="42"/>
      <c r="H52" s="42"/>
      <c r="I52" s="42"/>
      <c r="J52" s="42"/>
      <c r="K52" s="42"/>
      <c r="L52" s="44"/>
      <c r="M52" s="42"/>
      <c r="N52" s="42"/>
      <c r="O52" s="42"/>
      <c r="P52" s="42"/>
    </row>
    <row r="53" spans="1:16" x14ac:dyDescent="0.2">
      <c r="A53" s="42"/>
      <c r="G53" s="42"/>
      <c r="H53" s="42"/>
      <c r="I53" s="42"/>
      <c r="J53" s="42"/>
      <c r="K53" s="42"/>
      <c r="L53" s="44"/>
      <c r="M53" s="42"/>
      <c r="N53" s="42"/>
      <c r="O53" s="42"/>
      <c r="P53" s="42"/>
    </row>
    <row r="54" spans="1:16" x14ac:dyDescent="0.2">
      <c r="A54" s="42"/>
      <c r="G54" s="42"/>
      <c r="H54" s="42"/>
      <c r="I54" s="42"/>
      <c r="J54" s="42"/>
      <c r="K54" s="42"/>
      <c r="L54" s="44"/>
    </row>
    <row r="56" spans="1:16" x14ac:dyDescent="0.2">
      <c r="C56" s="42"/>
      <c r="D56" s="42"/>
      <c r="E56" s="44"/>
      <c r="F56" s="42"/>
    </row>
    <row r="57" spans="1:16" x14ac:dyDescent="0.2">
      <c r="C57" s="3"/>
      <c r="D57" s="3"/>
      <c r="E57" s="1"/>
    </row>
    <row r="58" spans="1:16" x14ac:dyDescent="0.2">
      <c r="E58" s="1"/>
    </row>
    <row r="59" spans="1:16" x14ac:dyDescent="0.2">
      <c r="E59" s="1"/>
    </row>
    <row r="60" spans="1:16" x14ac:dyDescent="0.2">
      <c r="E60" s="1"/>
    </row>
    <row r="61" spans="1:16" x14ac:dyDescent="0.2">
      <c r="C61" s="3"/>
      <c r="D61" s="3"/>
      <c r="E61" s="1"/>
    </row>
    <row r="62" spans="1:16" x14ac:dyDescent="0.2">
      <c r="E62" s="1"/>
    </row>
    <row r="63" spans="1:16" x14ac:dyDescent="0.2">
      <c r="E63" s="1"/>
    </row>
  </sheetData>
  <sheetProtection algorithmName="SHA-512" hashValue="maEO9nY3/HE8oOt/JDr1mH1zvWjXtaLJCliF2gQKNGzaOUXpewh9wDHdIqIZ/aXkmKS1iAIKu7m2dBZ6r0eJpg==" saltValue="1I6phCXkMsQ6h9Zgj4Wajw==" spinCount="100000" sheet="1" objects="1" scenarios="1"/>
  <mergeCells count="9">
    <mergeCell ref="K5:K6"/>
    <mergeCell ref="J5:J6"/>
    <mergeCell ref="F5:F6"/>
    <mergeCell ref="E5:E6"/>
    <mergeCell ref="B6:C6"/>
    <mergeCell ref="G5:G6"/>
    <mergeCell ref="H5:H6"/>
    <mergeCell ref="D5:D6"/>
    <mergeCell ref="I5:I6"/>
  </mergeCells>
  <phoneticPr fontId="2" type="noConversion"/>
  <printOptions horizontalCentered="1" verticalCentered="1"/>
  <pageMargins left="0.74803149606299213" right="0.74803149606299213" top="0.98425196850393704" bottom="0.51181102362204722" header="0.74803149606299213" footer="0.27559055118110237"/>
  <pageSetup scale="69" orientation="portrait" r:id="rId1"/>
  <headerFooter alignWithMargins="0">
    <oddFooter>&amp;L&amp;8(C) 2022. Richard A. Payne</oddFooter>
  </headerFooter>
  <ignoredErrors>
    <ignoredError sqref="E14" emptyCellReference="1"/>
    <ignoredError sqref="D7:D10" unlockedFormula="1"/>
    <ignoredError sqref="D11:D13" unlockedFormula="1" emptyCellReference="1"/>
  </ignoredErrors>
  <drawing r:id="rId2"/>
  <legacyDrawing r:id="rId3"/>
  <controls>
    <mc:AlternateContent xmlns:mc="http://schemas.openxmlformats.org/markup-compatibility/2006">
      <mc:Choice Requires="x14">
        <control shapeId="2049" r:id="rId4" name="SpinButton1">
          <controlPr defaultSize="0" print="0" autoLine="0" r:id="rId5">
            <anchor moveWithCells="1">
              <from>
                <xdr:col>0</xdr:col>
                <xdr:colOff>19050</xdr:colOff>
                <xdr:row>18</xdr:row>
                <xdr:rowOff>142875</xdr:rowOff>
              </from>
              <to>
                <xdr:col>1</xdr:col>
                <xdr:colOff>85725</xdr:colOff>
                <xdr:row>19</xdr:row>
                <xdr:rowOff>114300</xdr:rowOff>
              </to>
            </anchor>
          </controlPr>
        </control>
      </mc:Choice>
      <mc:Fallback>
        <control shapeId="2049" r:id="rId4" name="Spin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S47"/>
  <sheetViews>
    <sheetView showGridLines="0" workbookViewId="0">
      <selection activeCell="C17" sqref="C17"/>
    </sheetView>
  </sheetViews>
  <sheetFormatPr defaultColWidth="9.140625" defaultRowHeight="12.75" x14ac:dyDescent="0.2"/>
  <cols>
    <col min="1" max="1" width="2.28515625" style="5" customWidth="1"/>
    <col min="2" max="8" width="12.7109375" style="5" customWidth="1"/>
    <col min="9" max="11" width="9.140625" style="5"/>
    <col min="12" max="13" width="12.7109375" style="4" hidden="1" customWidth="1"/>
    <col min="14" max="18" width="9.140625" style="5" hidden="1" customWidth="1"/>
    <col min="19" max="19" width="0" style="5" hidden="1" customWidth="1"/>
    <col min="20" max="16384" width="9.140625" style="5"/>
  </cols>
  <sheetData>
    <row r="1" spans="2:18" ht="41.25" customHeight="1" x14ac:dyDescent="0.2">
      <c r="B1" s="159" t="s">
        <v>22</v>
      </c>
      <c r="C1" s="159"/>
      <c r="D1" s="159"/>
      <c r="E1" s="159"/>
      <c r="F1" s="159"/>
      <c r="G1" s="159"/>
      <c r="H1" s="159"/>
    </row>
    <row r="2" spans="2:18" x14ac:dyDescent="0.2">
      <c r="B2" s="23"/>
      <c r="C2" s="24"/>
      <c r="D2" s="25"/>
      <c r="F2" s="157" t="s">
        <v>8</v>
      </c>
      <c r="G2" s="158"/>
    </row>
    <row r="3" spans="2:18" x14ac:dyDescent="0.2">
      <c r="B3" s="26"/>
      <c r="C3" s="27"/>
      <c r="D3" s="28"/>
      <c r="F3" s="11" t="s">
        <v>20</v>
      </c>
      <c r="G3" s="12">
        <f>LVA!F29</f>
        <v>0.65</v>
      </c>
    </row>
    <row r="4" spans="2:18" x14ac:dyDescent="0.2">
      <c r="B4" s="26"/>
      <c r="C4" s="27"/>
      <c r="D4" s="28"/>
      <c r="F4" s="11" t="s">
        <v>23</v>
      </c>
      <c r="G4" s="13">
        <f>LVA!D21</f>
        <v>4800</v>
      </c>
    </row>
    <row r="5" spans="2:18" x14ac:dyDescent="0.2">
      <c r="B5" s="26"/>
      <c r="C5" s="27"/>
      <c r="D5" s="28"/>
      <c r="F5" s="11" t="s">
        <v>17</v>
      </c>
      <c r="G5" s="12">
        <f>LVA!D19</f>
        <v>0.06</v>
      </c>
    </row>
    <row r="6" spans="2:18" x14ac:dyDescent="0.2">
      <c r="B6" s="26"/>
      <c r="C6" s="27"/>
      <c r="D6" s="28"/>
      <c r="F6" s="11" t="s">
        <v>18</v>
      </c>
      <c r="G6" s="12">
        <f>LVA!D20</f>
        <v>0.06</v>
      </c>
      <c r="M6" s="17"/>
      <c r="N6" s="18"/>
    </row>
    <row r="7" spans="2:18" x14ac:dyDescent="0.2">
      <c r="B7" s="26"/>
      <c r="C7" s="27"/>
      <c r="D7" s="28"/>
      <c r="F7" s="11" t="s">
        <v>63</v>
      </c>
      <c r="G7" s="33">
        <f>LVA!F14</f>
        <v>6.7</v>
      </c>
      <c r="J7" s="17"/>
      <c r="M7" s="17"/>
    </row>
    <row r="8" spans="2:18" ht="4.5" customHeight="1" x14ac:dyDescent="0.2">
      <c r="B8" s="26"/>
      <c r="C8" s="27"/>
      <c r="D8" s="28"/>
      <c r="F8" s="19" t="s">
        <v>25</v>
      </c>
      <c r="G8" s="20">
        <f>ROUND(G7,0)</f>
        <v>7</v>
      </c>
    </row>
    <row r="9" spans="2:18" x14ac:dyDescent="0.2">
      <c r="B9" s="29" t="s">
        <v>58</v>
      </c>
      <c r="C9" s="27"/>
      <c r="D9" s="28"/>
    </row>
    <row r="10" spans="2:18" x14ac:dyDescent="0.2">
      <c r="B10" s="29" t="s">
        <v>60</v>
      </c>
      <c r="C10" s="27"/>
      <c r="D10" s="28"/>
      <c r="F10" s="7" t="s">
        <v>24</v>
      </c>
    </row>
    <row r="11" spans="2:18" x14ac:dyDescent="0.2">
      <c r="B11" s="29" t="s">
        <v>61</v>
      </c>
      <c r="C11" s="27"/>
      <c r="D11" s="28"/>
      <c r="F11" s="7" t="s">
        <v>65</v>
      </c>
    </row>
    <row r="12" spans="2:18" x14ac:dyDescent="0.2">
      <c r="B12" s="29" t="s">
        <v>59</v>
      </c>
      <c r="C12" s="27"/>
      <c r="D12" s="28"/>
      <c r="F12" s="8" t="s">
        <v>66</v>
      </c>
    </row>
    <row r="13" spans="2:18" x14ac:dyDescent="0.2">
      <c r="B13" s="29" t="s">
        <v>62</v>
      </c>
      <c r="C13" s="27"/>
      <c r="D13" s="28"/>
      <c r="F13" s="8" t="s">
        <v>64</v>
      </c>
      <c r="L13" s="4" t="s">
        <v>48</v>
      </c>
    </row>
    <row r="14" spans="2:18" x14ac:dyDescent="0.2">
      <c r="B14" s="30"/>
      <c r="C14" s="31"/>
      <c r="D14" s="32"/>
      <c r="F14" s="93" t="s">
        <v>79</v>
      </c>
      <c r="L14" s="17">
        <f>MOD(G7,1)</f>
        <v>0.70000000000000018</v>
      </c>
    </row>
    <row r="15" spans="2:18" ht="32.25" customHeight="1" x14ac:dyDescent="0.2">
      <c r="B15" s="160" t="s">
        <v>80</v>
      </c>
      <c r="C15" s="160"/>
      <c r="D15" s="160"/>
      <c r="F15" s="94" t="s">
        <v>67</v>
      </c>
      <c r="L15" s="17">
        <f>INT(G7)</f>
        <v>6</v>
      </c>
    </row>
    <row r="16" spans="2:18" ht="34.5" customHeight="1" x14ac:dyDescent="0.2">
      <c r="B16" s="10" t="s">
        <v>19</v>
      </c>
      <c r="C16" s="10" t="s">
        <v>27</v>
      </c>
      <c r="D16" s="10" t="s">
        <v>6</v>
      </c>
      <c r="E16" s="15" t="s">
        <v>33</v>
      </c>
      <c r="F16" s="15" t="s">
        <v>41</v>
      </c>
      <c r="G16" s="15" t="s">
        <v>32</v>
      </c>
      <c r="H16" s="15" t="s">
        <v>31</v>
      </c>
      <c r="L16" s="16" t="s">
        <v>47</v>
      </c>
      <c r="M16" s="16" t="s">
        <v>49</v>
      </c>
      <c r="N16" s="16" t="s">
        <v>50</v>
      </c>
      <c r="O16" s="16" t="s">
        <v>52</v>
      </c>
      <c r="P16" s="5" t="s">
        <v>53</v>
      </c>
      <c r="Q16" s="39" t="s">
        <v>70</v>
      </c>
      <c r="R16" s="16" t="s">
        <v>51</v>
      </c>
    </row>
    <row r="17" spans="2:19" ht="16.5" customHeight="1" thickBot="1" x14ac:dyDescent="0.25">
      <c r="B17" s="88" t="s">
        <v>37</v>
      </c>
      <c r="C17" s="89">
        <f>SUM(C18:C47)</f>
        <v>38247.75319766016</v>
      </c>
      <c r="D17" s="89">
        <f>SUM(D18:D47)</f>
        <v>24861.039578479111</v>
      </c>
      <c r="E17" s="89">
        <f>SUM(E18:E47)</f>
        <v>19720.75471698113</v>
      </c>
      <c r="F17" s="90">
        <f>MAX(F18:F47)</f>
        <v>19720.75471698113</v>
      </c>
      <c r="G17" s="90">
        <f>SUM(G18:G47)</f>
        <v>4550.9433962264147</v>
      </c>
      <c r="H17" s="90">
        <f>MAX(H18:H47)</f>
        <v>4550.9433962264147</v>
      </c>
      <c r="L17" s="16"/>
      <c r="M17" s="16"/>
      <c r="N17" s="16"/>
      <c r="O17" s="16"/>
      <c r="Q17" s="39"/>
      <c r="R17" s="16"/>
    </row>
    <row r="18" spans="2:19" ht="13.5" thickTop="1" x14ac:dyDescent="0.2">
      <c r="B18" s="40">
        <v>1</v>
      </c>
      <c r="C18" s="41">
        <f>N18</f>
        <v>4800</v>
      </c>
      <c r="D18" s="41">
        <f>O18</f>
        <v>3120</v>
      </c>
      <c r="E18" s="41">
        <f>P18</f>
        <v>2943.3962264150941</v>
      </c>
      <c r="F18" s="41">
        <f>E18</f>
        <v>2943.3962264150941</v>
      </c>
      <c r="G18" s="41">
        <f>R18</f>
        <v>679.24528301886789</v>
      </c>
      <c r="H18" s="41">
        <f>G18</f>
        <v>679.24528301886789</v>
      </c>
      <c r="L18" s="4">
        <f t="shared" ref="L18:L47" si="0">IF(B18&gt;$G$7,$L$14,1)</f>
        <v>1</v>
      </c>
      <c r="M18" s="6">
        <f>G4</f>
        <v>4800</v>
      </c>
      <c r="N18" s="6">
        <f>IF(AND(L18&lt;1,L18=L16),"",L18*M18)</f>
        <v>4800</v>
      </c>
      <c r="O18" s="6">
        <f t="shared" ref="O18:O47" si="1">IF(ISERROR(N18*$G$3)=TRUE,"",N18*$G$3)</f>
        <v>3120</v>
      </c>
      <c r="P18" s="6">
        <f t="shared" ref="P18:P47" si="2">IF(ISERROR(O18*(1+$G$5)^-B18)=TRUE,"",O18*(1+$G$5)^-B18)</f>
        <v>2943.3962264150941</v>
      </c>
      <c r="Q18" s="6">
        <f>IF(ISERROR(N18*LVA!$F$30)=TRUE,"",N18*LVA!$F$30)</f>
        <v>720</v>
      </c>
      <c r="R18" s="6">
        <f t="shared" ref="R18:R47" si="3">IF(ISERROR((Q18)*(1+$G$5)^-B18)=TRUE,"",(Q18)*(1+$G$5)^-B18)</f>
        <v>679.24528301886789</v>
      </c>
      <c r="S18" s="6"/>
    </row>
    <row r="19" spans="2:19" x14ac:dyDescent="0.2">
      <c r="B19" s="40">
        <v>2</v>
      </c>
      <c r="C19" s="41">
        <f t="shared" ref="C19:E22" si="4">IF(N19=0,"",N19)</f>
        <v>5088</v>
      </c>
      <c r="D19" s="41">
        <f t="shared" si="4"/>
        <v>3307.2000000000003</v>
      </c>
      <c r="E19" s="41">
        <f t="shared" si="4"/>
        <v>2943.3962264150941</v>
      </c>
      <c r="F19" s="41">
        <f>IF(OR(E19=0,E19=""),"",F18+E19)</f>
        <v>5886.7924528301883</v>
      </c>
      <c r="G19" s="41">
        <f>IF(R19=0,"",R19)</f>
        <v>679.24528301886778</v>
      </c>
      <c r="H19" s="41">
        <f>IF(OR(G19=0,G19=""),"",H18+G19)</f>
        <v>1358.4905660377358</v>
      </c>
      <c r="L19" s="4">
        <f t="shared" si="0"/>
        <v>1</v>
      </c>
      <c r="M19" s="6">
        <f t="shared" ref="M19:M47" si="5">M18*(1+$G$6)</f>
        <v>5088</v>
      </c>
      <c r="N19" s="6">
        <f t="shared" ref="N19:N23" si="6">IF(AND(L19&lt;1,L19=L18),"",L19*M19)</f>
        <v>5088</v>
      </c>
      <c r="O19" s="6">
        <f t="shared" si="1"/>
        <v>3307.2000000000003</v>
      </c>
      <c r="P19" s="6">
        <f t="shared" si="2"/>
        <v>2943.3962264150941</v>
      </c>
      <c r="Q19" s="6">
        <f>IF(ISERROR(N19*LVA!$F$30)=TRUE,"",N19*LVA!$F$30)</f>
        <v>763.19999999999993</v>
      </c>
      <c r="R19" s="6">
        <f t="shared" si="3"/>
        <v>679.24528301886778</v>
      </c>
      <c r="S19" s="6"/>
    </row>
    <row r="20" spans="2:19" x14ac:dyDescent="0.2">
      <c r="B20" s="40">
        <v>3</v>
      </c>
      <c r="C20" s="41">
        <f t="shared" si="4"/>
        <v>5393.2800000000007</v>
      </c>
      <c r="D20" s="41">
        <f t="shared" si="4"/>
        <v>3505.6320000000005</v>
      </c>
      <c r="E20" s="41">
        <f t="shared" si="4"/>
        <v>2943.3962264150941</v>
      </c>
      <c r="F20" s="41">
        <f>IF(OR(E20=0,E20=""),"",F19+E20)</f>
        <v>8830.1886792452824</v>
      </c>
      <c r="G20" s="41">
        <f>IF(R20=0,"",R20)</f>
        <v>679.24528301886778</v>
      </c>
      <c r="H20" s="41">
        <f>IF(OR(G20=0,G20=""),"",H19+G20)</f>
        <v>2037.7358490566035</v>
      </c>
      <c r="L20" s="4">
        <f t="shared" si="0"/>
        <v>1</v>
      </c>
      <c r="M20" s="6">
        <f t="shared" si="5"/>
        <v>5393.2800000000007</v>
      </c>
      <c r="N20" s="6">
        <f t="shared" si="6"/>
        <v>5393.2800000000007</v>
      </c>
      <c r="O20" s="6">
        <f t="shared" si="1"/>
        <v>3505.6320000000005</v>
      </c>
      <c r="P20" s="6">
        <f t="shared" si="2"/>
        <v>2943.3962264150941</v>
      </c>
      <c r="Q20" s="6">
        <f>IF(ISERROR(N20*LVA!$F$30)=TRUE,"",N20*LVA!$F$30)</f>
        <v>808.99200000000008</v>
      </c>
      <c r="R20" s="6">
        <f t="shared" si="3"/>
        <v>679.24528301886778</v>
      </c>
      <c r="S20" s="6"/>
    </row>
    <row r="21" spans="2:19" x14ac:dyDescent="0.2">
      <c r="B21" s="40">
        <v>4</v>
      </c>
      <c r="C21" s="41">
        <f t="shared" si="4"/>
        <v>5716.8768000000009</v>
      </c>
      <c r="D21" s="41">
        <f t="shared" si="4"/>
        <v>3715.9699200000009</v>
      </c>
      <c r="E21" s="41">
        <f t="shared" si="4"/>
        <v>2943.3962264150946</v>
      </c>
      <c r="F21" s="41">
        <f>IF(OR(E21=0,E21=""),"",F20+E21)</f>
        <v>11773.584905660377</v>
      </c>
      <c r="G21" s="41">
        <f>IF(R21=0,"",R21)</f>
        <v>679.24528301886789</v>
      </c>
      <c r="H21" s="41">
        <f>IF(OR(G21=0,G21=""),"",H20+G21)</f>
        <v>2716.9811320754716</v>
      </c>
      <c r="L21" s="4">
        <f t="shared" si="0"/>
        <v>1</v>
      </c>
      <c r="M21" s="6">
        <f t="shared" si="5"/>
        <v>5716.8768000000009</v>
      </c>
      <c r="N21" s="6">
        <f t="shared" si="6"/>
        <v>5716.8768000000009</v>
      </c>
      <c r="O21" s="6">
        <f t="shared" si="1"/>
        <v>3715.9699200000009</v>
      </c>
      <c r="P21" s="6">
        <f t="shared" si="2"/>
        <v>2943.3962264150946</v>
      </c>
      <c r="Q21" s="6">
        <f>IF(ISERROR(N21*LVA!$F$30)=TRUE,"",N21*LVA!$F$30)</f>
        <v>857.53152000000011</v>
      </c>
      <c r="R21" s="6">
        <f t="shared" si="3"/>
        <v>679.24528301886789</v>
      </c>
      <c r="S21" s="6"/>
    </row>
    <row r="22" spans="2:19" x14ac:dyDescent="0.2">
      <c r="B22" s="40">
        <v>5</v>
      </c>
      <c r="C22" s="41">
        <f t="shared" si="4"/>
        <v>6059.8894080000009</v>
      </c>
      <c r="D22" s="41">
        <f t="shared" si="4"/>
        <v>3938.9281152000008</v>
      </c>
      <c r="E22" s="41">
        <f t="shared" si="4"/>
        <v>2943.3962264150937</v>
      </c>
      <c r="F22" s="41">
        <f>IF(OR(E22=0,E22=""),"",F21+E22)</f>
        <v>14716.981132075471</v>
      </c>
      <c r="G22" s="41">
        <f>IF(R22=0,"",R22)</f>
        <v>679.24528301886778</v>
      </c>
      <c r="H22" s="41">
        <f>IF(OR(G22=0,G22=""),"",H21+G22)</f>
        <v>3396.2264150943392</v>
      </c>
      <c r="L22" s="4">
        <f t="shared" si="0"/>
        <v>1</v>
      </c>
      <c r="M22" s="6">
        <f t="shared" si="5"/>
        <v>6059.8894080000009</v>
      </c>
      <c r="N22" s="6">
        <f t="shared" si="6"/>
        <v>6059.8894080000009</v>
      </c>
      <c r="O22" s="6">
        <f t="shared" si="1"/>
        <v>3938.9281152000008</v>
      </c>
      <c r="P22" s="6">
        <f t="shared" si="2"/>
        <v>2943.3962264150937</v>
      </c>
      <c r="Q22" s="6">
        <f>IF(ISERROR(N22*LVA!$F$30)=TRUE,"",N22*LVA!$F$30)</f>
        <v>908.98341120000009</v>
      </c>
      <c r="R22" s="6">
        <f t="shared" si="3"/>
        <v>679.24528301886778</v>
      </c>
      <c r="S22" s="6"/>
    </row>
    <row r="23" spans="2:19" x14ac:dyDescent="0.2">
      <c r="B23" s="40">
        <v>6</v>
      </c>
      <c r="C23" s="41">
        <f t="shared" ref="C23:C25" si="7">IF(N23=0,"",N23)</f>
        <v>6423.4827724800016</v>
      </c>
      <c r="D23" s="41">
        <f t="shared" ref="D23:D25" si="8">IF(O23=0,"",O23)</f>
        <v>4175.263802112001</v>
      </c>
      <c r="E23" s="41">
        <f t="shared" ref="E23:E25" si="9">IF(P23=0,"",P23)</f>
        <v>2943.3962264150937</v>
      </c>
      <c r="F23" s="41">
        <f t="shared" ref="F23:F25" si="10">IF(OR(E23=0,E23=""),"",F22+E23)</f>
        <v>17660.377358490565</v>
      </c>
      <c r="G23" s="41">
        <f t="shared" ref="G23:G25" si="11">IF(R23=0,"",R23)</f>
        <v>679.24528301886778</v>
      </c>
      <c r="H23" s="41">
        <f t="shared" ref="H23:H25" si="12">IF(OR(G23=0,G23=""),"",H22+G23)</f>
        <v>4075.4716981132069</v>
      </c>
      <c r="L23" s="4">
        <f t="shared" si="0"/>
        <v>1</v>
      </c>
      <c r="M23" s="6">
        <f t="shared" si="5"/>
        <v>6423.4827724800016</v>
      </c>
      <c r="N23" s="6">
        <f t="shared" si="6"/>
        <v>6423.4827724800016</v>
      </c>
      <c r="O23" s="6">
        <f t="shared" si="1"/>
        <v>4175.263802112001</v>
      </c>
      <c r="P23" s="6">
        <f t="shared" si="2"/>
        <v>2943.3962264150937</v>
      </c>
      <c r="Q23" s="6">
        <f>IF(ISERROR(N23*LVA!$F$30)=TRUE,"",N23*LVA!$F$30)</f>
        <v>963.52241587200024</v>
      </c>
      <c r="R23" s="6">
        <f t="shared" si="3"/>
        <v>679.24528301886778</v>
      </c>
      <c r="S23" s="6"/>
    </row>
    <row r="24" spans="2:19" x14ac:dyDescent="0.2">
      <c r="B24" s="40">
        <v>7</v>
      </c>
      <c r="C24" s="41">
        <f t="shared" si="7"/>
        <v>4766.2242171801627</v>
      </c>
      <c r="D24" s="41">
        <f t="shared" si="8"/>
        <v>3098.0457411671059</v>
      </c>
      <c r="E24" s="41">
        <f t="shared" si="9"/>
        <v>2060.3773584905662</v>
      </c>
      <c r="F24" s="41">
        <f t="shared" si="10"/>
        <v>19720.75471698113</v>
      </c>
      <c r="G24" s="41">
        <f t="shared" si="11"/>
        <v>475.47169811320748</v>
      </c>
      <c r="H24" s="41">
        <f t="shared" si="12"/>
        <v>4550.9433962264147</v>
      </c>
      <c r="L24" s="4">
        <f t="shared" si="0"/>
        <v>0.70000000000000018</v>
      </c>
      <c r="M24" s="6">
        <f t="shared" si="5"/>
        <v>6808.8917388288019</v>
      </c>
      <c r="N24" s="6">
        <f t="shared" ref="N24:N31" si="13">IF(AND(L24&lt;1,L24=L23),"",L24*M24)</f>
        <v>4766.2242171801627</v>
      </c>
      <c r="O24" s="6">
        <f t="shared" si="1"/>
        <v>3098.0457411671059</v>
      </c>
      <c r="P24" s="6">
        <f t="shared" si="2"/>
        <v>2060.3773584905662</v>
      </c>
      <c r="Q24" s="6">
        <f>IF(ISERROR(N24*LVA!$F$30)=TRUE,"",N24*LVA!$F$30)</f>
        <v>714.93363257702435</v>
      </c>
      <c r="R24" s="6">
        <f t="shared" si="3"/>
        <v>475.47169811320748</v>
      </c>
      <c r="S24" s="6"/>
    </row>
    <row r="25" spans="2:19" x14ac:dyDescent="0.2">
      <c r="B25" s="40">
        <v>8</v>
      </c>
      <c r="C25" s="41" t="str">
        <f t="shared" si="7"/>
        <v/>
      </c>
      <c r="D25" s="41" t="str">
        <f t="shared" si="8"/>
        <v/>
      </c>
      <c r="E25" s="41" t="str">
        <f t="shared" si="9"/>
        <v/>
      </c>
      <c r="F25" s="41" t="str">
        <f t="shared" si="10"/>
        <v/>
      </c>
      <c r="G25" s="41" t="str">
        <f t="shared" si="11"/>
        <v/>
      </c>
      <c r="H25" s="41" t="str">
        <f t="shared" si="12"/>
        <v/>
      </c>
      <c r="L25" s="4">
        <f t="shared" si="0"/>
        <v>0.70000000000000018</v>
      </c>
      <c r="M25" s="6">
        <f t="shared" si="5"/>
        <v>7217.4252431585301</v>
      </c>
      <c r="N25" s="6" t="str">
        <f t="shared" si="13"/>
        <v/>
      </c>
      <c r="O25" s="6" t="str">
        <f t="shared" si="1"/>
        <v/>
      </c>
      <c r="P25" s="6" t="str">
        <f t="shared" si="2"/>
        <v/>
      </c>
      <c r="Q25" s="6" t="str">
        <f>IF(ISERROR(N25*LVA!$F$30)=TRUE,"",N25*LVA!$F$30)</f>
        <v/>
      </c>
      <c r="R25" s="6" t="str">
        <f t="shared" si="3"/>
        <v/>
      </c>
      <c r="S25" s="6"/>
    </row>
    <row r="26" spans="2:19" x14ac:dyDescent="0.2">
      <c r="B26" s="40">
        <v>9</v>
      </c>
      <c r="C26" s="41" t="str">
        <f t="shared" ref="C26:C47" si="14">IF(N26=0,"",N26)</f>
        <v/>
      </c>
      <c r="D26" s="41" t="str">
        <f t="shared" ref="D26:D47" si="15">IF(O26=0,"",O26)</f>
        <v/>
      </c>
      <c r="E26" s="41" t="str">
        <f t="shared" ref="E26:E47" si="16">IF(P26=0,"",P26)</f>
        <v/>
      </c>
      <c r="F26" s="41" t="str">
        <f t="shared" ref="F26:F47" si="17">IF(OR(E26=0,E26=""),"",F25+E26)</f>
        <v/>
      </c>
      <c r="G26" s="41" t="str">
        <f t="shared" ref="G26:G47" si="18">IF(R26=0,"",R26)</f>
        <v/>
      </c>
      <c r="H26" s="41" t="str">
        <f t="shared" ref="H26:H47" si="19">IF(OR(G26=0,G26=""),"",H25+G26)</f>
        <v/>
      </c>
      <c r="L26" s="4">
        <f t="shared" si="0"/>
        <v>0.70000000000000018</v>
      </c>
      <c r="M26" s="6">
        <f t="shared" si="5"/>
        <v>7650.4707577480422</v>
      </c>
      <c r="N26" s="6" t="str">
        <f t="shared" si="13"/>
        <v/>
      </c>
      <c r="O26" s="6" t="str">
        <f t="shared" si="1"/>
        <v/>
      </c>
      <c r="P26" s="6" t="str">
        <f t="shared" si="2"/>
        <v/>
      </c>
      <c r="Q26" s="6" t="str">
        <f>IF(ISERROR(N26*LVA!$F$30)=TRUE,"",N26*LVA!$F$30)</f>
        <v/>
      </c>
      <c r="R26" s="6" t="str">
        <f t="shared" si="3"/>
        <v/>
      </c>
    </row>
    <row r="27" spans="2:19" x14ac:dyDescent="0.2">
      <c r="B27" s="40">
        <v>10</v>
      </c>
      <c r="C27" s="41" t="str">
        <f t="shared" si="14"/>
        <v/>
      </c>
      <c r="D27" s="41" t="str">
        <f t="shared" si="15"/>
        <v/>
      </c>
      <c r="E27" s="41" t="str">
        <f t="shared" si="16"/>
        <v/>
      </c>
      <c r="F27" s="41" t="str">
        <f t="shared" si="17"/>
        <v/>
      </c>
      <c r="G27" s="41" t="str">
        <f t="shared" si="18"/>
        <v/>
      </c>
      <c r="H27" s="41" t="str">
        <f t="shared" si="19"/>
        <v/>
      </c>
      <c r="L27" s="4">
        <f t="shared" si="0"/>
        <v>0.70000000000000018</v>
      </c>
      <c r="M27" s="6">
        <f t="shared" si="5"/>
        <v>8109.4990032129253</v>
      </c>
      <c r="N27" s="6" t="str">
        <f t="shared" si="13"/>
        <v/>
      </c>
      <c r="O27" s="6" t="str">
        <f t="shared" si="1"/>
        <v/>
      </c>
      <c r="P27" s="6" t="str">
        <f t="shared" si="2"/>
        <v/>
      </c>
      <c r="Q27" s="6" t="str">
        <f>IF(ISERROR(N27*LVA!$F$30)=TRUE,"",N27*LVA!$F$30)</f>
        <v/>
      </c>
      <c r="R27" s="6" t="str">
        <f t="shared" si="3"/>
        <v/>
      </c>
    </row>
    <row r="28" spans="2:19" x14ac:dyDescent="0.2">
      <c r="B28" s="40">
        <v>11</v>
      </c>
      <c r="C28" s="41" t="str">
        <f t="shared" si="14"/>
        <v/>
      </c>
      <c r="D28" s="41" t="str">
        <f t="shared" si="15"/>
        <v/>
      </c>
      <c r="E28" s="41" t="str">
        <f t="shared" si="16"/>
        <v/>
      </c>
      <c r="F28" s="41" t="str">
        <f t="shared" si="17"/>
        <v/>
      </c>
      <c r="G28" s="41" t="str">
        <f t="shared" si="18"/>
        <v/>
      </c>
      <c r="H28" s="41" t="str">
        <f t="shared" si="19"/>
        <v/>
      </c>
      <c r="L28" s="4">
        <f t="shared" si="0"/>
        <v>0.70000000000000018</v>
      </c>
      <c r="M28" s="6">
        <f t="shared" si="5"/>
        <v>8596.0689434057022</v>
      </c>
      <c r="N28" s="6" t="str">
        <f t="shared" si="13"/>
        <v/>
      </c>
      <c r="O28" s="6" t="str">
        <f t="shared" si="1"/>
        <v/>
      </c>
      <c r="P28" s="6" t="str">
        <f t="shared" si="2"/>
        <v/>
      </c>
      <c r="Q28" s="6" t="str">
        <f>IF(ISERROR(N28*LVA!$F$30)=TRUE,"",N28*LVA!$F$30)</f>
        <v/>
      </c>
      <c r="R28" s="6" t="str">
        <f t="shared" si="3"/>
        <v/>
      </c>
    </row>
    <row r="29" spans="2:19" x14ac:dyDescent="0.2">
      <c r="B29" s="40">
        <v>12</v>
      </c>
      <c r="C29" s="41" t="str">
        <f t="shared" si="14"/>
        <v/>
      </c>
      <c r="D29" s="41" t="str">
        <f t="shared" si="15"/>
        <v/>
      </c>
      <c r="E29" s="41" t="str">
        <f t="shared" si="16"/>
        <v/>
      </c>
      <c r="F29" s="41" t="str">
        <f t="shared" si="17"/>
        <v/>
      </c>
      <c r="G29" s="41" t="str">
        <f t="shared" si="18"/>
        <v/>
      </c>
      <c r="H29" s="41" t="str">
        <f t="shared" si="19"/>
        <v/>
      </c>
      <c r="L29" s="4">
        <f t="shared" si="0"/>
        <v>0.70000000000000018</v>
      </c>
      <c r="M29" s="6">
        <f t="shared" si="5"/>
        <v>9111.8330800100448</v>
      </c>
      <c r="N29" s="6" t="str">
        <f t="shared" si="13"/>
        <v/>
      </c>
      <c r="O29" s="6" t="str">
        <f t="shared" si="1"/>
        <v/>
      </c>
      <c r="P29" s="6" t="str">
        <f t="shared" si="2"/>
        <v/>
      </c>
      <c r="Q29" s="6" t="str">
        <f>IF(ISERROR(N29*LVA!$F$30)=TRUE,"",N29*LVA!$F$30)</f>
        <v/>
      </c>
      <c r="R29" s="6" t="str">
        <f t="shared" si="3"/>
        <v/>
      </c>
    </row>
    <row r="30" spans="2:19" x14ac:dyDescent="0.2">
      <c r="B30" s="40">
        <v>13</v>
      </c>
      <c r="C30" s="41" t="str">
        <f t="shared" si="14"/>
        <v/>
      </c>
      <c r="D30" s="41" t="str">
        <f t="shared" si="15"/>
        <v/>
      </c>
      <c r="E30" s="41" t="str">
        <f t="shared" si="16"/>
        <v/>
      </c>
      <c r="F30" s="41" t="str">
        <f t="shared" si="17"/>
        <v/>
      </c>
      <c r="G30" s="41" t="str">
        <f t="shared" si="18"/>
        <v/>
      </c>
      <c r="H30" s="41" t="str">
        <f t="shared" si="19"/>
        <v/>
      </c>
      <c r="L30" s="4">
        <f t="shared" si="0"/>
        <v>0.70000000000000018</v>
      </c>
      <c r="M30" s="6">
        <f t="shared" si="5"/>
        <v>9658.5430648106485</v>
      </c>
      <c r="N30" s="6" t="str">
        <f t="shared" si="13"/>
        <v/>
      </c>
      <c r="O30" s="6" t="str">
        <f t="shared" si="1"/>
        <v/>
      </c>
      <c r="P30" s="6" t="str">
        <f t="shared" si="2"/>
        <v/>
      </c>
      <c r="Q30" s="6" t="str">
        <f>IF(ISERROR(N30*LVA!$F$30)=TRUE,"",N30*LVA!$F$30)</f>
        <v/>
      </c>
      <c r="R30" s="6" t="str">
        <f t="shared" si="3"/>
        <v/>
      </c>
    </row>
    <row r="31" spans="2:19" x14ac:dyDescent="0.2">
      <c r="B31" s="40">
        <v>14</v>
      </c>
      <c r="C31" s="41" t="str">
        <f t="shared" si="14"/>
        <v/>
      </c>
      <c r="D31" s="41" t="str">
        <f t="shared" si="15"/>
        <v/>
      </c>
      <c r="E31" s="41" t="str">
        <f t="shared" si="16"/>
        <v/>
      </c>
      <c r="F31" s="41" t="str">
        <f t="shared" si="17"/>
        <v/>
      </c>
      <c r="G31" s="41" t="str">
        <f t="shared" si="18"/>
        <v/>
      </c>
      <c r="H31" s="41" t="str">
        <f t="shared" si="19"/>
        <v/>
      </c>
      <c r="L31" s="4">
        <f t="shared" si="0"/>
        <v>0.70000000000000018</v>
      </c>
      <c r="M31" s="6">
        <f t="shared" si="5"/>
        <v>10238.055648699288</v>
      </c>
      <c r="N31" s="6" t="str">
        <f t="shared" si="13"/>
        <v/>
      </c>
      <c r="O31" s="6" t="str">
        <f t="shared" si="1"/>
        <v/>
      </c>
      <c r="P31" s="6" t="str">
        <f t="shared" si="2"/>
        <v/>
      </c>
      <c r="Q31" s="6" t="str">
        <f>IF(ISERROR(N31*LVA!$F$30)=TRUE,"",N31*LVA!$F$30)</f>
        <v/>
      </c>
      <c r="R31" s="6" t="str">
        <f t="shared" si="3"/>
        <v/>
      </c>
    </row>
    <row r="32" spans="2:19" x14ac:dyDescent="0.2">
      <c r="B32" s="40">
        <v>15</v>
      </c>
      <c r="C32" s="41" t="str">
        <f t="shared" si="14"/>
        <v/>
      </c>
      <c r="D32" s="41" t="str">
        <f t="shared" si="15"/>
        <v/>
      </c>
      <c r="E32" s="41" t="str">
        <f t="shared" si="16"/>
        <v/>
      </c>
      <c r="F32" s="41" t="str">
        <f t="shared" si="17"/>
        <v/>
      </c>
      <c r="G32" s="41" t="str">
        <f t="shared" si="18"/>
        <v/>
      </c>
      <c r="H32" s="41" t="str">
        <f t="shared" si="19"/>
        <v/>
      </c>
      <c r="L32" s="4">
        <f t="shared" si="0"/>
        <v>0.70000000000000018</v>
      </c>
      <c r="M32" s="6">
        <f t="shared" si="5"/>
        <v>10852.338987621246</v>
      </c>
      <c r="N32" s="6" t="str">
        <f t="shared" ref="N32:N47" si="20">IF(AND(L32&lt;1,L32=L31),"",L32*M32)</f>
        <v/>
      </c>
      <c r="O32" s="6" t="str">
        <f t="shared" si="1"/>
        <v/>
      </c>
      <c r="P32" s="6" t="str">
        <f t="shared" si="2"/>
        <v/>
      </c>
      <c r="Q32" s="6" t="str">
        <f>IF(ISERROR(N32*LVA!$F$30)=TRUE,"",N32*LVA!$F$30)</f>
        <v/>
      </c>
      <c r="R32" s="6" t="str">
        <f t="shared" si="3"/>
        <v/>
      </c>
    </row>
    <row r="33" spans="2:18" x14ac:dyDescent="0.2">
      <c r="B33" s="40">
        <v>16</v>
      </c>
      <c r="C33" s="41" t="str">
        <f t="shared" si="14"/>
        <v/>
      </c>
      <c r="D33" s="41" t="str">
        <f t="shared" si="15"/>
        <v/>
      </c>
      <c r="E33" s="41" t="str">
        <f t="shared" si="16"/>
        <v/>
      </c>
      <c r="F33" s="41" t="str">
        <f t="shared" si="17"/>
        <v/>
      </c>
      <c r="G33" s="41" t="str">
        <f t="shared" si="18"/>
        <v/>
      </c>
      <c r="H33" s="41" t="str">
        <f t="shared" si="19"/>
        <v/>
      </c>
      <c r="L33" s="4">
        <f t="shared" si="0"/>
        <v>0.70000000000000018</v>
      </c>
      <c r="M33" s="6">
        <f t="shared" si="5"/>
        <v>11503.479326878522</v>
      </c>
      <c r="N33" s="6" t="str">
        <f t="shared" si="20"/>
        <v/>
      </c>
      <c r="O33" s="6" t="str">
        <f t="shared" si="1"/>
        <v/>
      </c>
      <c r="P33" s="6" t="str">
        <f t="shared" si="2"/>
        <v/>
      </c>
      <c r="Q33" s="6" t="str">
        <f>IF(ISERROR(N33*LVA!$F$30)=TRUE,"",N33*LVA!$F$30)</f>
        <v/>
      </c>
      <c r="R33" s="6" t="str">
        <f t="shared" si="3"/>
        <v/>
      </c>
    </row>
    <row r="34" spans="2:18" x14ac:dyDescent="0.2">
      <c r="B34" s="40">
        <v>17</v>
      </c>
      <c r="C34" s="41" t="str">
        <f t="shared" si="14"/>
        <v/>
      </c>
      <c r="D34" s="41" t="str">
        <f t="shared" si="15"/>
        <v/>
      </c>
      <c r="E34" s="41" t="str">
        <f t="shared" si="16"/>
        <v/>
      </c>
      <c r="F34" s="41" t="str">
        <f t="shared" si="17"/>
        <v/>
      </c>
      <c r="G34" s="41" t="str">
        <f t="shared" si="18"/>
        <v/>
      </c>
      <c r="H34" s="41" t="str">
        <f t="shared" si="19"/>
        <v/>
      </c>
      <c r="L34" s="4">
        <f t="shared" si="0"/>
        <v>0.70000000000000018</v>
      </c>
      <c r="M34" s="6">
        <f t="shared" si="5"/>
        <v>12193.688086491233</v>
      </c>
      <c r="N34" s="6" t="str">
        <f t="shared" si="20"/>
        <v/>
      </c>
      <c r="O34" s="6" t="str">
        <f t="shared" si="1"/>
        <v/>
      </c>
      <c r="P34" s="6" t="str">
        <f t="shared" si="2"/>
        <v/>
      </c>
      <c r="Q34" s="6" t="str">
        <f>IF(ISERROR(N34*LVA!$F$30)=TRUE,"",N34*LVA!$F$30)</f>
        <v/>
      </c>
      <c r="R34" s="6" t="str">
        <f t="shared" si="3"/>
        <v/>
      </c>
    </row>
    <row r="35" spans="2:18" x14ac:dyDescent="0.2">
      <c r="B35" s="40">
        <v>18</v>
      </c>
      <c r="C35" s="41" t="str">
        <f t="shared" si="14"/>
        <v/>
      </c>
      <c r="D35" s="41" t="str">
        <f t="shared" si="15"/>
        <v/>
      </c>
      <c r="E35" s="41" t="str">
        <f t="shared" si="16"/>
        <v/>
      </c>
      <c r="F35" s="41" t="str">
        <f t="shared" si="17"/>
        <v/>
      </c>
      <c r="G35" s="41" t="str">
        <f t="shared" si="18"/>
        <v/>
      </c>
      <c r="H35" s="41" t="str">
        <f t="shared" si="19"/>
        <v/>
      </c>
      <c r="L35" s="4">
        <f t="shared" si="0"/>
        <v>0.70000000000000018</v>
      </c>
      <c r="M35" s="6">
        <f t="shared" si="5"/>
        <v>12925.309371680707</v>
      </c>
      <c r="N35" s="6" t="str">
        <f t="shared" si="20"/>
        <v/>
      </c>
      <c r="O35" s="6" t="str">
        <f t="shared" si="1"/>
        <v/>
      </c>
      <c r="P35" s="6" t="str">
        <f t="shared" si="2"/>
        <v/>
      </c>
      <c r="Q35" s="6" t="str">
        <f>IF(ISERROR(N35*LVA!$F$30)=TRUE,"",N35*LVA!$F$30)</f>
        <v/>
      </c>
      <c r="R35" s="6" t="str">
        <f t="shared" si="3"/>
        <v/>
      </c>
    </row>
    <row r="36" spans="2:18" x14ac:dyDescent="0.2">
      <c r="B36" s="40">
        <v>19</v>
      </c>
      <c r="C36" s="41" t="str">
        <f t="shared" si="14"/>
        <v/>
      </c>
      <c r="D36" s="41" t="str">
        <f t="shared" si="15"/>
        <v/>
      </c>
      <c r="E36" s="41" t="str">
        <f t="shared" si="16"/>
        <v/>
      </c>
      <c r="F36" s="41" t="str">
        <f t="shared" si="17"/>
        <v/>
      </c>
      <c r="G36" s="41" t="str">
        <f t="shared" si="18"/>
        <v/>
      </c>
      <c r="H36" s="41" t="str">
        <f t="shared" si="19"/>
        <v/>
      </c>
      <c r="L36" s="4">
        <f t="shared" si="0"/>
        <v>0.70000000000000018</v>
      </c>
      <c r="M36" s="6">
        <f t="shared" si="5"/>
        <v>13700.827933981551</v>
      </c>
      <c r="N36" s="6" t="str">
        <f t="shared" si="20"/>
        <v/>
      </c>
      <c r="O36" s="6" t="str">
        <f t="shared" si="1"/>
        <v/>
      </c>
      <c r="P36" s="6" t="str">
        <f t="shared" si="2"/>
        <v/>
      </c>
      <c r="Q36" s="6" t="str">
        <f>IF(ISERROR(N36*LVA!$F$30)=TRUE,"",N36*LVA!$F$30)</f>
        <v/>
      </c>
      <c r="R36" s="6" t="str">
        <f t="shared" si="3"/>
        <v/>
      </c>
    </row>
    <row r="37" spans="2:18" x14ac:dyDescent="0.2">
      <c r="B37" s="40">
        <v>20</v>
      </c>
      <c r="C37" s="41" t="str">
        <f t="shared" si="14"/>
        <v/>
      </c>
      <c r="D37" s="41" t="str">
        <f t="shared" si="15"/>
        <v/>
      </c>
      <c r="E37" s="41" t="str">
        <f t="shared" si="16"/>
        <v/>
      </c>
      <c r="F37" s="41" t="str">
        <f t="shared" si="17"/>
        <v/>
      </c>
      <c r="G37" s="41" t="str">
        <f t="shared" si="18"/>
        <v/>
      </c>
      <c r="H37" s="41" t="str">
        <f t="shared" si="19"/>
        <v/>
      </c>
      <c r="L37" s="4">
        <f t="shared" si="0"/>
        <v>0.70000000000000018</v>
      </c>
      <c r="M37" s="6">
        <f t="shared" si="5"/>
        <v>14522.877610020445</v>
      </c>
      <c r="N37" s="6" t="str">
        <f t="shared" si="20"/>
        <v/>
      </c>
      <c r="O37" s="6" t="str">
        <f t="shared" si="1"/>
        <v/>
      </c>
      <c r="P37" s="6" t="str">
        <f t="shared" si="2"/>
        <v/>
      </c>
      <c r="Q37" s="6" t="str">
        <f>IF(ISERROR(N37*LVA!$F$30)=TRUE,"",N37*LVA!$F$30)</f>
        <v/>
      </c>
      <c r="R37" s="6" t="str">
        <f t="shared" si="3"/>
        <v/>
      </c>
    </row>
    <row r="38" spans="2:18" x14ac:dyDescent="0.2">
      <c r="B38" s="40">
        <v>21</v>
      </c>
      <c r="C38" s="41" t="str">
        <f t="shared" si="14"/>
        <v/>
      </c>
      <c r="D38" s="41" t="str">
        <f t="shared" si="15"/>
        <v/>
      </c>
      <c r="E38" s="41" t="str">
        <f t="shared" si="16"/>
        <v/>
      </c>
      <c r="F38" s="41" t="str">
        <f t="shared" si="17"/>
        <v/>
      </c>
      <c r="G38" s="41" t="str">
        <f t="shared" si="18"/>
        <v/>
      </c>
      <c r="H38" s="41" t="str">
        <f t="shared" si="19"/>
        <v/>
      </c>
      <c r="L38" s="4">
        <f t="shared" si="0"/>
        <v>0.70000000000000018</v>
      </c>
      <c r="M38" s="6">
        <f t="shared" si="5"/>
        <v>15394.250266621673</v>
      </c>
      <c r="N38" s="6" t="str">
        <f t="shared" si="20"/>
        <v/>
      </c>
      <c r="O38" s="6" t="str">
        <f t="shared" si="1"/>
        <v/>
      </c>
      <c r="P38" s="6" t="str">
        <f t="shared" si="2"/>
        <v/>
      </c>
      <c r="Q38" s="6" t="str">
        <f>IF(ISERROR(N38*LVA!$F$30)=TRUE,"",N38*LVA!$F$30)</f>
        <v/>
      </c>
      <c r="R38" s="6" t="str">
        <f t="shared" si="3"/>
        <v/>
      </c>
    </row>
    <row r="39" spans="2:18" x14ac:dyDescent="0.2">
      <c r="B39" s="40">
        <v>22</v>
      </c>
      <c r="C39" s="41" t="str">
        <f t="shared" si="14"/>
        <v/>
      </c>
      <c r="D39" s="41" t="str">
        <f t="shared" si="15"/>
        <v/>
      </c>
      <c r="E39" s="41" t="str">
        <f t="shared" si="16"/>
        <v/>
      </c>
      <c r="F39" s="41" t="str">
        <f t="shared" si="17"/>
        <v/>
      </c>
      <c r="G39" s="41" t="str">
        <f t="shared" si="18"/>
        <v/>
      </c>
      <c r="H39" s="41" t="str">
        <f t="shared" si="19"/>
        <v/>
      </c>
      <c r="L39" s="4">
        <f t="shared" si="0"/>
        <v>0.70000000000000018</v>
      </c>
      <c r="M39" s="6">
        <f t="shared" si="5"/>
        <v>16317.905282618975</v>
      </c>
      <c r="N39" s="6" t="str">
        <f t="shared" si="20"/>
        <v/>
      </c>
      <c r="O39" s="6" t="str">
        <f t="shared" si="1"/>
        <v/>
      </c>
      <c r="P39" s="6" t="str">
        <f t="shared" si="2"/>
        <v/>
      </c>
      <c r="Q39" s="6" t="str">
        <f>IF(ISERROR(N39*LVA!$F$30)=TRUE,"",N39*LVA!$F$30)</f>
        <v/>
      </c>
      <c r="R39" s="6" t="str">
        <f t="shared" si="3"/>
        <v/>
      </c>
    </row>
    <row r="40" spans="2:18" x14ac:dyDescent="0.2">
      <c r="B40" s="40">
        <v>23</v>
      </c>
      <c r="C40" s="41" t="str">
        <f t="shared" si="14"/>
        <v/>
      </c>
      <c r="D40" s="41" t="str">
        <f t="shared" si="15"/>
        <v/>
      </c>
      <c r="E40" s="41" t="str">
        <f t="shared" si="16"/>
        <v/>
      </c>
      <c r="F40" s="41" t="str">
        <f t="shared" si="17"/>
        <v/>
      </c>
      <c r="G40" s="41" t="str">
        <f t="shared" si="18"/>
        <v/>
      </c>
      <c r="H40" s="41" t="str">
        <f t="shared" si="19"/>
        <v/>
      </c>
      <c r="L40" s="4">
        <f t="shared" si="0"/>
        <v>0.70000000000000018</v>
      </c>
      <c r="M40" s="6">
        <f t="shared" si="5"/>
        <v>17296.979599576112</v>
      </c>
      <c r="N40" s="6" t="str">
        <f t="shared" si="20"/>
        <v/>
      </c>
      <c r="O40" s="6" t="str">
        <f t="shared" si="1"/>
        <v/>
      </c>
      <c r="P40" s="6" t="str">
        <f t="shared" si="2"/>
        <v/>
      </c>
      <c r="Q40" s="6" t="str">
        <f>IF(ISERROR(N40*LVA!$F$30)=TRUE,"",N40*LVA!$F$30)</f>
        <v/>
      </c>
      <c r="R40" s="6" t="str">
        <f t="shared" si="3"/>
        <v/>
      </c>
    </row>
    <row r="41" spans="2:18" x14ac:dyDescent="0.2">
      <c r="B41" s="40">
        <v>24</v>
      </c>
      <c r="C41" s="41" t="str">
        <f t="shared" si="14"/>
        <v/>
      </c>
      <c r="D41" s="41" t="str">
        <f t="shared" si="15"/>
        <v/>
      </c>
      <c r="E41" s="41" t="str">
        <f t="shared" si="16"/>
        <v/>
      </c>
      <c r="F41" s="41" t="str">
        <f t="shared" si="17"/>
        <v/>
      </c>
      <c r="G41" s="41" t="str">
        <f t="shared" si="18"/>
        <v/>
      </c>
      <c r="H41" s="41" t="str">
        <f t="shared" si="19"/>
        <v/>
      </c>
      <c r="L41" s="4">
        <f t="shared" si="0"/>
        <v>0.70000000000000018</v>
      </c>
      <c r="M41" s="6">
        <f t="shared" si="5"/>
        <v>18334.798375550679</v>
      </c>
      <c r="N41" s="6" t="str">
        <f t="shared" si="20"/>
        <v/>
      </c>
      <c r="O41" s="6" t="str">
        <f t="shared" si="1"/>
        <v/>
      </c>
      <c r="P41" s="6" t="str">
        <f t="shared" si="2"/>
        <v/>
      </c>
      <c r="Q41" s="6" t="str">
        <f>IF(ISERROR(N41*LVA!$F$30)=TRUE,"",N41*LVA!$F$30)</f>
        <v/>
      </c>
      <c r="R41" s="6" t="str">
        <f t="shared" si="3"/>
        <v/>
      </c>
    </row>
    <row r="42" spans="2:18" x14ac:dyDescent="0.2">
      <c r="B42" s="40">
        <v>25</v>
      </c>
      <c r="C42" s="41" t="str">
        <f t="shared" si="14"/>
        <v/>
      </c>
      <c r="D42" s="41" t="str">
        <f t="shared" si="15"/>
        <v/>
      </c>
      <c r="E42" s="41" t="str">
        <f t="shared" si="16"/>
        <v/>
      </c>
      <c r="F42" s="41" t="str">
        <f t="shared" si="17"/>
        <v/>
      </c>
      <c r="G42" s="41" t="str">
        <f t="shared" si="18"/>
        <v/>
      </c>
      <c r="H42" s="41" t="str">
        <f t="shared" si="19"/>
        <v/>
      </c>
      <c r="L42" s="4">
        <f t="shared" si="0"/>
        <v>0.70000000000000018</v>
      </c>
      <c r="M42" s="6">
        <f t="shared" si="5"/>
        <v>19434.886278083723</v>
      </c>
      <c r="N42" s="6" t="str">
        <f t="shared" si="20"/>
        <v/>
      </c>
      <c r="O42" s="6" t="str">
        <f t="shared" si="1"/>
        <v/>
      </c>
      <c r="P42" s="6" t="str">
        <f t="shared" si="2"/>
        <v/>
      </c>
      <c r="Q42" s="6" t="str">
        <f>IF(ISERROR(N42*LVA!$F$30)=TRUE,"",N42*LVA!$F$30)</f>
        <v/>
      </c>
      <c r="R42" s="6" t="str">
        <f t="shared" si="3"/>
        <v/>
      </c>
    </row>
    <row r="43" spans="2:18" x14ac:dyDescent="0.2">
      <c r="B43" s="40">
        <v>26</v>
      </c>
      <c r="C43" s="41" t="str">
        <f t="shared" si="14"/>
        <v/>
      </c>
      <c r="D43" s="41" t="str">
        <f t="shared" si="15"/>
        <v/>
      </c>
      <c r="E43" s="41" t="str">
        <f t="shared" si="16"/>
        <v/>
      </c>
      <c r="F43" s="41" t="str">
        <f t="shared" si="17"/>
        <v/>
      </c>
      <c r="G43" s="41" t="str">
        <f t="shared" si="18"/>
        <v/>
      </c>
      <c r="H43" s="41" t="str">
        <f t="shared" si="19"/>
        <v/>
      </c>
      <c r="L43" s="4">
        <f t="shared" si="0"/>
        <v>0.70000000000000018</v>
      </c>
      <c r="M43" s="6">
        <f t="shared" si="5"/>
        <v>20600.979454768745</v>
      </c>
      <c r="N43" s="6" t="str">
        <f t="shared" si="20"/>
        <v/>
      </c>
      <c r="O43" s="6" t="str">
        <f t="shared" si="1"/>
        <v/>
      </c>
      <c r="P43" s="6" t="str">
        <f t="shared" si="2"/>
        <v/>
      </c>
      <c r="Q43" s="6" t="str">
        <f>IF(ISERROR(N43*LVA!$F$30)=TRUE,"",N43*LVA!$F$30)</f>
        <v/>
      </c>
      <c r="R43" s="6" t="str">
        <f t="shared" si="3"/>
        <v/>
      </c>
    </row>
    <row r="44" spans="2:18" x14ac:dyDescent="0.2">
      <c r="B44" s="40">
        <v>27</v>
      </c>
      <c r="C44" s="41" t="str">
        <f t="shared" si="14"/>
        <v/>
      </c>
      <c r="D44" s="41" t="str">
        <f t="shared" si="15"/>
        <v/>
      </c>
      <c r="E44" s="41" t="str">
        <f t="shared" si="16"/>
        <v/>
      </c>
      <c r="F44" s="41" t="str">
        <f t="shared" si="17"/>
        <v/>
      </c>
      <c r="G44" s="41" t="str">
        <f t="shared" si="18"/>
        <v/>
      </c>
      <c r="H44" s="41" t="str">
        <f t="shared" si="19"/>
        <v/>
      </c>
      <c r="L44" s="4">
        <f t="shared" si="0"/>
        <v>0.70000000000000018</v>
      </c>
      <c r="M44" s="6">
        <f t="shared" si="5"/>
        <v>21837.038222054871</v>
      </c>
      <c r="N44" s="6" t="str">
        <f t="shared" si="20"/>
        <v/>
      </c>
      <c r="O44" s="6" t="str">
        <f t="shared" si="1"/>
        <v/>
      </c>
      <c r="P44" s="6" t="str">
        <f t="shared" si="2"/>
        <v/>
      </c>
      <c r="Q44" s="6" t="str">
        <f>IF(ISERROR(N44*LVA!$F$30)=TRUE,"",N44*LVA!$F$30)</f>
        <v/>
      </c>
      <c r="R44" s="6" t="str">
        <f t="shared" si="3"/>
        <v/>
      </c>
    </row>
    <row r="45" spans="2:18" x14ac:dyDescent="0.2">
      <c r="B45" s="40">
        <v>28</v>
      </c>
      <c r="C45" s="41" t="str">
        <f t="shared" si="14"/>
        <v/>
      </c>
      <c r="D45" s="41" t="str">
        <f t="shared" si="15"/>
        <v/>
      </c>
      <c r="E45" s="41" t="str">
        <f t="shared" si="16"/>
        <v/>
      </c>
      <c r="F45" s="41" t="str">
        <f t="shared" si="17"/>
        <v/>
      </c>
      <c r="G45" s="41" t="str">
        <f t="shared" si="18"/>
        <v/>
      </c>
      <c r="H45" s="41" t="str">
        <f t="shared" si="19"/>
        <v/>
      </c>
      <c r="L45" s="4">
        <f t="shared" si="0"/>
        <v>0.70000000000000018</v>
      </c>
      <c r="M45" s="6">
        <f t="shared" si="5"/>
        <v>23147.260515378166</v>
      </c>
      <c r="N45" s="6" t="str">
        <f t="shared" si="20"/>
        <v/>
      </c>
      <c r="O45" s="6" t="str">
        <f t="shared" si="1"/>
        <v/>
      </c>
      <c r="P45" s="6" t="str">
        <f t="shared" si="2"/>
        <v/>
      </c>
      <c r="Q45" s="6" t="str">
        <f>IF(ISERROR(N45*LVA!$F$30)=TRUE,"",N45*LVA!$F$30)</f>
        <v/>
      </c>
      <c r="R45" s="6" t="str">
        <f t="shared" si="3"/>
        <v/>
      </c>
    </row>
    <row r="46" spans="2:18" x14ac:dyDescent="0.2">
      <c r="B46" s="40">
        <v>29</v>
      </c>
      <c r="C46" s="41" t="str">
        <f t="shared" si="14"/>
        <v/>
      </c>
      <c r="D46" s="41" t="str">
        <f t="shared" si="15"/>
        <v/>
      </c>
      <c r="E46" s="41" t="str">
        <f t="shared" si="16"/>
        <v/>
      </c>
      <c r="F46" s="41" t="str">
        <f t="shared" si="17"/>
        <v/>
      </c>
      <c r="G46" s="41" t="str">
        <f t="shared" si="18"/>
        <v/>
      </c>
      <c r="H46" s="41" t="str">
        <f t="shared" si="19"/>
        <v/>
      </c>
      <c r="L46" s="4">
        <f t="shared" si="0"/>
        <v>0.70000000000000018</v>
      </c>
      <c r="M46" s="6">
        <f t="shared" si="5"/>
        <v>24536.096146300857</v>
      </c>
      <c r="N46" s="6" t="str">
        <f t="shared" si="20"/>
        <v/>
      </c>
      <c r="O46" s="6" t="str">
        <f t="shared" si="1"/>
        <v/>
      </c>
      <c r="P46" s="6" t="str">
        <f t="shared" si="2"/>
        <v/>
      </c>
      <c r="Q46" s="6" t="str">
        <f>IF(ISERROR(N46*LVA!$F$30)=TRUE,"",N46*LVA!$F$30)</f>
        <v/>
      </c>
      <c r="R46" s="6" t="str">
        <f t="shared" si="3"/>
        <v/>
      </c>
    </row>
    <row r="47" spans="2:18" x14ac:dyDescent="0.2">
      <c r="B47" s="91">
        <v>30</v>
      </c>
      <c r="C47" s="92" t="str">
        <f t="shared" si="14"/>
        <v/>
      </c>
      <c r="D47" s="92" t="str">
        <f t="shared" si="15"/>
        <v/>
      </c>
      <c r="E47" s="92" t="str">
        <f t="shared" si="16"/>
        <v/>
      </c>
      <c r="F47" s="92" t="str">
        <f t="shared" si="17"/>
        <v/>
      </c>
      <c r="G47" s="92" t="str">
        <f t="shared" si="18"/>
        <v/>
      </c>
      <c r="H47" s="92" t="str">
        <f t="shared" si="19"/>
        <v/>
      </c>
      <c r="L47" s="4">
        <f t="shared" si="0"/>
        <v>0.70000000000000018</v>
      </c>
      <c r="M47" s="6">
        <f t="shared" si="5"/>
        <v>26008.261915078911</v>
      </c>
      <c r="N47" s="6" t="str">
        <f t="shared" si="20"/>
        <v/>
      </c>
      <c r="O47" s="6" t="str">
        <f t="shared" si="1"/>
        <v/>
      </c>
      <c r="P47" s="6" t="str">
        <f t="shared" si="2"/>
        <v/>
      </c>
      <c r="Q47" s="6" t="str">
        <f>IF(ISERROR(N47*LVA!$F$30)=TRUE,"",N47*LVA!$F$30)</f>
        <v/>
      </c>
      <c r="R47" s="6" t="str">
        <f t="shared" si="3"/>
        <v/>
      </c>
    </row>
  </sheetData>
  <sheetProtection algorithmName="SHA-512" hashValue="9vTh5vl+lmt4rXUEsuVX+8v693g0tCdv1+SysL4Fo1M5P92W32tJ4rK4cMZfYUYVPrPs7MjbBDZ6EhIyeC1i0w==" saltValue="vT3n+qKUV3/8YZWRI92Njg==" spinCount="100000" sheet="1" objects="1" scenarios="1"/>
  <mergeCells count="3">
    <mergeCell ref="F2:G2"/>
    <mergeCell ref="B1:H1"/>
    <mergeCell ref="B15:D15"/>
  </mergeCells>
  <phoneticPr fontId="2" type="noConversion"/>
  <pageMargins left="0.55000000000000004" right="0.37" top="1" bottom="1" header="0.5" footer="0.5"/>
  <pageSetup scale="85" orientation="landscape" r:id="rId1"/>
  <headerFooter alignWithMargins="0">
    <oddFooter>&amp;L&amp;9(C) 2016. Richard A Payne.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LVA</vt:lpstr>
      <vt:lpstr>Table</vt:lpstr>
      <vt:lpstr>LVA!Print_Area</vt:lpstr>
      <vt:lpstr>Table!Print_Area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</dc:creator>
  <cp:lastModifiedBy>Richard Payne</cp:lastModifiedBy>
  <cp:lastPrinted>2023-12-12T06:42:56Z</cp:lastPrinted>
  <dcterms:created xsi:type="dcterms:W3CDTF">2016-05-05T11:14:27Z</dcterms:created>
  <dcterms:modified xsi:type="dcterms:W3CDTF">2023-12-15T01:10:05Z</dcterms:modified>
</cp:coreProperties>
</file>